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Dashboard" sheetId="2" state="visible" r:id="rId4"/>
    <sheet name="Model Inventory" sheetId="3" state="visible" r:id="rId5"/>
    <sheet name="Risk Scoring" sheetId="4" state="visible" r:id="rId6"/>
    <sheet name="Toolkit &amp; Open Source" sheetId="5" state="visible" r:id="rId7"/>
    <sheet name="Audit Log" sheetId="6" state="visible" r:id="rId8"/>
    <sheet name="Reference Lists" sheetId="7" state="visible" r:id="rId9"/>
  </sheets>
  <definedNames>
    <definedName function="false" hidden="true" localSheetId="5" name="_xlnm._FilterDatabase" vbProcedure="false">'Audit Log'!$B$4:$H$44</definedName>
    <definedName function="false" hidden="true" localSheetId="2" name="_xlnm._FilterDatabase" vbProcedure="false">'Model Inventory'!$B$4:$Y$54</definedName>
    <definedName function="false" hidden="false" name="ComplianceList" vbProcedure="false">'Reference Lists'!$E$5:$E$8</definedName>
    <definedName function="false" hidden="false" name="EnvList" vbProcedure="false">'Reference Lists'!$C$5:$C$9</definedName>
    <definedName function="false" hidden="false" name="FunctionList" vbProcedure="false">'Reference Lists'!$G$5:$G$16</definedName>
    <definedName function="false" hidden="false" name="GateStatusList" vbProcedure="false">'Reference Lists'!$I$5:$I$8</definedName>
    <definedName function="false" hidden="false" name="NISTRMFList" vbProcedure="false">'Reference Lists'!$J$5:$J$8</definedName>
    <definedName function="false" hidden="false" name="SensitivityList" vbProcedure="false">'Reference Lists'!$F$5:$F$8</definedName>
    <definedName function="false" hidden="false" name="StatusList" vbProcedure="false">'Reference Lists'!$D$5:$D$9</definedName>
    <definedName function="false" hidden="false" name="TrustTierList" vbProcedure="false">'Reference Lists'!$K$5:$K$8</definedName>
    <definedName function="false" hidden="false" name="VendorList" vbProcedure="false">'Reference Lists'!$B$5:$B$17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<sst xmlns="http://schemas.openxmlformats.org/spreadsheetml/2006/main" count="582" uniqueCount="389">
  <si>
    <t xml:space="preserve">AI Model Inventory — AIGovOps Foundation Edition</t>
  </si>
  <si>
    <t xml:space="preserve">Built on AIGovOps Foundation thinking: governance that runs like engineering — versioned, tested, observable, and auditable by default. This workbook is the "model registry" layer of the AiDevOps governance pipeline. The Audit Log is its evidence trail.</t>
  </si>
  <si>
    <t xml:space="preserve">Operating thesis</t>
  </si>
  <si>
    <t xml:space="preserve">Agents do the bureaucracy; humans hold moral legitimacy.</t>
  </si>
  <si>
    <t xml:space="preserve">Agents may draft anything — risk scores, audit findings, version-bump PRs — but only humans ratify norms, adjudicate value conflicts, grant trust status, and approve exceptions. This inventory captures both signals.</t>
  </si>
  <si>
    <t xml:space="preserve">Governance as code, evidence by default.</t>
  </si>
  <si>
    <t xml:space="preserve">Every row in this workbook should have a corresponding machine-readable record (policy YAML, OPA/Rego rule, signed receipt). The spreadsheet is the human-readable mirror of that pipeline state — not the source of truth.</t>
  </si>
  <si>
    <t xml:space="preserve">Un-automated governance is aspiration.</t>
  </si>
  <si>
    <t xml:space="preserve">Any row where Gate Status is blank or Evidence Receipt URI is empty is technical debt. Track it, then close it.</t>
  </si>
  <si>
    <t xml:space="preserve">Four core pillars (how to read this workbook)</t>
  </si>
  <si>
    <t xml:space="preserve">01 — Governance as Code</t>
  </si>
  <si>
    <t xml:space="preserve">Trust Tier, Gate Status, NIST RMF mapping, and Evidence Receipt URI columns make policy state explicit and grep-able. Pair each row with a checked-in policy artifact (gate.*.yaml, *.rego).</t>
  </si>
  <si>
    <t xml:space="preserve">02 — AI Technical Debt Elimination</t>
  </si>
  <si>
    <t xml:space="preserve">The Dashboard surfaces governance debt: un-audited models, missing receipts, gates in DEFERRED state, deprecated models still receiving traffic. Drive this number down each sprint.</t>
  </si>
  <si>
    <t xml:space="preserve">03 — Operational Compliance</t>
  </si>
  <si>
    <t xml:space="preserve">The 'NIST RMF Mapping' column ties each model to a control family (GOVERN/MAP/MEASURE/MANAGE). Compliance becomes a query, not a quarterly scramble.</t>
  </si>
  <si>
    <t xml:space="preserve">04 — Community-Driven Standards</t>
  </si>
  <si>
    <t xml:space="preserve">Schemas (Trust Tier, Gate Status, Compliance Status) are deliberately compatible with the AiGovOps Foundation OS reference repo so this register can round-trip with policy code.</t>
  </si>
  <si>
    <t xml:space="preserve">How to use this template</t>
  </si>
  <si>
    <t xml:space="preserve">1. Populate the inventory</t>
  </si>
  <si>
    <t xml:space="preserve">Add one row per AI model — pre-production through retirement. Use dropdowns wherever provided to keep schemas consistent with policy code.</t>
  </si>
  <si>
    <t xml:space="preserve">2. Wire each row to evidence</t>
  </si>
  <si>
    <t xml:space="preserve">Paste the URI of the signed receipt (e.g. aigovops-Replay artifact, signed audit log entry, Rego decision log) into the Evidence Receipt URI column. Empty = debt.</t>
  </si>
  <si>
    <t xml:space="preserve">3. Run the gates</t>
  </si>
  <si>
    <t xml:space="preserve">Move models from Development → Staging → Active only when their gate (production-readiness, human-flourishing, etc.) has been evaluated. Record the decision in Gate Status: PASS / FAIL / DEFERRED.</t>
  </si>
  <si>
    <t xml:space="preserve">4. Capture every change in the Audit Log</t>
  </si>
  <si>
    <t xml:space="preserve">New version, owner change, gate result, exception grant — all append-only. Reference receipt URIs for cryptographic traceability.</t>
  </si>
  <si>
    <t xml:space="preserve">Column definitions — Model Inventory</t>
  </si>
  <si>
    <t xml:space="preserve">Model ID</t>
  </si>
  <si>
    <t xml:space="preserve">Unique internal identifier (e.g. MDL-0042). Cross-referenced by the Audit Log.</t>
  </si>
  <si>
    <t xml:space="preserve">Model Name</t>
  </si>
  <si>
    <t xml:space="preserve">Short business-friendly name.</t>
  </si>
  <si>
    <t xml:space="preserve">Vendor</t>
  </si>
  <si>
    <t xml:space="preserve">Foundation model or framework provider — OpenAI, Anthropic, Google, Meta, Microsoft, NVIDIA, AWS, Databricks, or 'In-house'.</t>
  </si>
  <si>
    <t xml:space="preserve">Version</t>
  </si>
  <si>
    <t xml:space="preserve">Pinned version string (e.g. gpt-4-turbo-2024-04-09). Never run 'latest' in production.</t>
  </si>
  <si>
    <t xml:space="preserve">Deployment Environment</t>
  </si>
  <si>
    <t xml:space="preserve">Cloud (SaaS API), Private Cloud, On-Prem, Edge, or Hybrid.</t>
  </si>
  <si>
    <t xml:space="preserve">Business Function</t>
  </si>
  <si>
    <t xml:space="preserve">Owning function — Manufacturing, Supply Chain, Finance, HR, CX, Engineering, etc.</t>
  </si>
  <si>
    <t xml:space="preserve">Use Case</t>
  </si>
  <si>
    <t xml:space="preserve">One-sentence description of the business outcome the model supports.</t>
  </si>
  <si>
    <t xml:space="preserve">Status</t>
  </si>
  <si>
    <t xml:space="preserve">Lifecycle stage: Development, Staging, Active, Deprecated, or Retired.</t>
  </si>
  <si>
    <t xml:space="preserve">Trust Tier</t>
  </si>
  <si>
    <t xml:space="preserve">T0 (untrusted/experimental) → T3 (signed, gated, evidence-backed). Mirrors the AiGovOps Foundation trust-tier convention.</t>
  </si>
  <si>
    <t xml:space="preserve">Gate Status</t>
  </si>
  <si>
    <t xml:space="preserve">Result of the most recent AiDevOps gate evaluation: PASS, FAIL, DEFERRED, NOT_RUN.</t>
  </si>
  <si>
    <t xml:space="preserve">NIST RMF Mapping</t>
  </si>
  <si>
    <t xml:space="preserve">Primary NIST AI RMF function — GOVERN, MAP, MEASURE, or MANAGE — that this model's controls live under.</t>
  </si>
  <si>
    <t xml:space="preserve">Evidence Receipt URI</t>
  </si>
  <si>
    <t xml:space="preserve">Pointer to the cryptographically signed receipt or audit-log entry for the latest gate run (e.g. aigovops-Replay artifact ID, S3 URI, IPFS CID).</t>
  </si>
  <si>
    <t xml:space="preserve">Monthly API Calls / Active Users / Latency / KPI</t>
  </si>
  <si>
    <t xml:space="preserve">Production observability snapshot — drives drift and dependency risk.</t>
  </si>
  <si>
    <t xml:space="preserve">Compliance Status</t>
  </si>
  <si>
    <t xml:space="preserve">Compliant, Pending Review, Non-Compliant, or Exempt.</t>
  </si>
  <si>
    <t xml:space="preserve">Data Sensitivity</t>
  </si>
  <si>
    <t xml:space="preserve">Public, Internal, Confidential, or Restricted — feeds the risk score.</t>
  </si>
  <si>
    <t xml:space="preserve">Owner / Owner Email</t>
  </si>
  <si>
    <t xml:space="preserve">Single accountable human. Shared ownership is an anti-pattern.</t>
  </si>
  <si>
    <t xml:space="preserve">Last Audit Date / Days Since Audit</t>
  </si>
  <si>
    <t xml:space="preserve">Drives audit-recency portion of the risk score.</t>
  </si>
  <si>
    <t xml:space="preserve">Risk Score (0-100) / Risk Tier</t>
  </si>
  <si>
    <t xml:space="preserve">Auto-calculated. See 'Risk Scoring' tab — includes a gate-status penalty for FAIL / DEFERRED / NOT_RUN.</t>
  </si>
  <si>
    <t xml:space="preserve">Audit toolkit — what to plug in alongside this register</t>
  </si>
  <si>
    <t xml:space="preserve">Cryptographic receipts</t>
  </si>
  <si>
    <t xml:space="preserve">Use a Replay-style signed-receipt system to make every gate decision verifiable after the fact. Paste the receipt ID/URI into the Evidence Receipt URI column.</t>
  </si>
  <si>
    <t xml:space="preserve">Policy-as-code gates</t>
  </si>
  <si>
    <t xml:space="preserve">Express each governance gate (production-readiness, human-flourishing, data-handling) as YAML + OPA/Rego. The Gate Status column records the latest evaluation result.</t>
  </si>
  <si>
    <t xml:space="preserve">Webhook-signed change events</t>
  </si>
  <si>
    <t xml:space="preserve">Verify HMAC-SHA256 on every CI/CD and review webhook so the audit-log entries you reference are tamper-evident.</t>
  </si>
  <si>
    <t xml:space="preserve">Append-only audit stream</t>
  </si>
  <si>
    <t xml:space="preserve">Mirror the workbook's 'Audit Log' tab into an append-only NDJSON or event store. Don't edit history — add forward.</t>
  </si>
  <si>
    <t xml:space="preserve">Clean-room migration for external prototypes</t>
  </si>
  <si>
    <t xml:space="preserve">Anything that originated outside the production estate (vendor demo, Magic Patterns prototype, hackathon code) should pass through a clean-room agent before it gets a Trust Tier above T1.</t>
  </si>
  <si>
    <t xml:space="preserve">Audit cadence by Trust Tier and sensitivity</t>
  </si>
  <si>
    <t xml:space="preserve">T3 + Restricted/Critical risk</t>
  </si>
  <si>
    <t xml:space="preserve">Re-evaluate every 90 days. Receipt must be &lt; 90 days old to remain T3.</t>
  </si>
  <si>
    <t xml:space="preserve">T2 + Confidential or High risk</t>
  </si>
  <si>
    <t xml:space="preserve">Re-evaluate every 180 days.</t>
  </si>
  <si>
    <t xml:space="preserve">T1 + Internal or Medium risk</t>
  </si>
  <si>
    <t xml:space="preserve">Re-evaluate every 270 days.</t>
  </si>
  <si>
    <t xml:space="preserve">T0 — Experimental</t>
  </si>
  <si>
    <t xml:space="preserve">Cannot serve production traffic. Promote to T1+ via a gate run before activation.</t>
  </si>
  <si>
    <t xml:space="preserve">Sources &amp; companion projects</t>
  </si>
  <si>
    <t xml:space="preserve">AiGovOps Foundation</t>
  </si>
  <si>
    <t xml:space="preserve">https://www.aigovopsfoundation.org/</t>
  </si>
  <si>
    <t xml:space="preserve">aigovops-foundation-os — governance-as-code reference impl</t>
  </si>
  <si>
    <t xml:space="preserve">https://github.com/bobrapp/aigovops-foundation-os</t>
  </si>
  <si>
    <t xml:space="preserve">aigovops-Replay — signed receipts for AI interactions</t>
  </si>
  <si>
    <t xml:space="preserve">https://github.com/bobrapp/aigovops-Replay</t>
  </si>
  <si>
    <t xml:space="preserve">aigovops-prompt-studio — wizard UI, 2FA, immutable audit logs</t>
  </si>
  <si>
    <t xml:space="preserve">https://github.com/bobrapp/aigovops-prompt-studio</t>
  </si>
  <si>
    <t xml:space="preserve">webhook-sentinel — governance-first webhook validation</t>
  </si>
  <si>
    <t xml:space="preserve">https://github.com/bobrapp/webhook-sentinel</t>
  </si>
  <si>
    <t xml:space="preserve">openclaw-installer — guided install with immutable audit logging</t>
  </si>
  <si>
    <t xml:space="preserve">https://github.com/bobrapp/openclaw-installer</t>
  </si>
  <si>
    <t xml:space="preserve">justice-league-v3-model-agnostic — model-agnostic AIGovOps platform</t>
  </si>
  <si>
    <t xml:space="preserve">https://github.com/bobrapp/justice-league-v3-model-agnostic</t>
  </si>
  <si>
    <t xml:space="preserve">ai-bob-external-to-internal-clean-room-agent</t>
  </si>
  <si>
    <t xml:space="preserve">https://github.com/bobrapp/ai-bob-external-to-internal-code-clean-room-agent</t>
  </si>
  <si>
    <t xml:space="preserve">aiupdates — AIGovOps Foundation intelligence platform</t>
  </si>
  <si>
    <t xml:space="preserve">https://github.com/bobrapp/aiupdates</t>
  </si>
  <si>
    <t xml:space="preserve">NIST AI Risk Management Framework</t>
  </si>
  <si>
    <t xml:space="preserve">https://www.nist.gov/itl/ai-risk-management-framework</t>
  </si>
  <si>
    <t xml:space="preserve">NVIDIA — Demystifying Enterprise MLOps</t>
  </si>
  <si>
    <t xml:space="preserve">https://developer.nvidia.com/blog/demystifying-enterprise-mlops/</t>
  </si>
  <si>
    <t xml:space="preserve">Governance Dashboard — AIGovOps view</t>
  </si>
  <si>
    <t xml:space="preserve">All values calculated live from the Model Inventory tab. Drive un-audited %, NOT_RUN gates, and missing evidence toward zero.</t>
  </si>
  <si>
    <t xml:space="preserve">Total Models</t>
  </si>
  <si>
    <t xml:space="preserve">Active</t>
  </si>
  <si>
    <t xml:space="preserve">Deprecated</t>
  </si>
  <si>
    <t xml:space="preserve">Retired</t>
  </si>
  <si>
    <t xml:space="preserve">Audited &lt;12mo</t>
  </si>
  <si>
    <t xml:space="preserve">Audit Overdue</t>
  </si>
  <si>
    <t xml:space="preserve">Un-Audited %</t>
  </si>
  <si>
    <t xml:space="preserve">Enterprise Risk</t>
  </si>
  <si>
    <t xml:space="preserve">Gates Passing</t>
  </si>
  <si>
    <t xml:space="preserve">Gates Failing</t>
  </si>
  <si>
    <t xml:space="preserve">Gates NOT_RUN</t>
  </si>
  <si>
    <t xml:space="preserve">Missing Evidence</t>
  </si>
  <si>
    <t xml:space="preserve">Trust Tier Distribution</t>
  </si>
  <si>
    <t xml:space="preserve">Risk Tier Distribution</t>
  </si>
  <si>
    <t xml:space="preserve">Count</t>
  </si>
  <si>
    <t xml:space="preserve">% of Total</t>
  </si>
  <si>
    <t xml:space="preserve">Risk Tier</t>
  </si>
  <si>
    <t xml:space="preserve">T3</t>
  </si>
  <si>
    <t xml:space="preserve">Critical</t>
  </si>
  <si>
    <t xml:space="preserve">T2</t>
  </si>
  <si>
    <t xml:space="preserve">High</t>
  </si>
  <si>
    <t xml:space="preserve">T1</t>
  </si>
  <si>
    <t xml:space="preserve">Medium</t>
  </si>
  <si>
    <t xml:space="preserve">T0</t>
  </si>
  <si>
    <t xml:space="preserve">Low</t>
  </si>
  <si>
    <t xml:space="preserve">Models by Vendor</t>
  </si>
  <si>
    <t xml:space="preserve">OpenAI</t>
  </si>
  <si>
    <t xml:space="preserve">Compliant</t>
  </si>
  <si>
    <t xml:space="preserve">Anthropic</t>
  </si>
  <si>
    <t xml:space="preserve">Pending Review</t>
  </si>
  <si>
    <t xml:space="preserve">Google</t>
  </si>
  <si>
    <t xml:space="preserve">Non-Compliant</t>
  </si>
  <si>
    <t xml:space="preserve">Meta</t>
  </si>
  <si>
    <t xml:space="preserve">Exempt</t>
  </si>
  <si>
    <t xml:space="preserve">Microsoft</t>
  </si>
  <si>
    <t xml:space="preserve">NVIDIA</t>
  </si>
  <si>
    <t xml:space="preserve">AWS</t>
  </si>
  <si>
    <t xml:space="preserve">Databricks</t>
  </si>
  <si>
    <t xml:space="preserve">In-house</t>
  </si>
  <si>
    <t xml:space="preserve">Other</t>
  </si>
  <si>
    <t xml:space="preserve">Usage Totals (current month)</t>
  </si>
  <si>
    <t xml:space="preserve">Total Monthly API Calls</t>
  </si>
  <si>
    <t xml:space="preserve">Total Active Users (sum)</t>
  </si>
  <si>
    <t xml:space="preserve">Avg P95 Latency (active models, ms)</t>
  </si>
  <si>
    <t xml:space="preserve">Model Inventory — Governance as Code</t>
  </si>
  <si>
    <t xml:space="preserve">NIST RMF</t>
  </si>
  <si>
    <t xml:space="preserve">Monthly API Calls</t>
  </si>
  <si>
    <t xml:space="preserve">Active Users</t>
  </si>
  <si>
    <t xml:space="preserve">Latency P95 (ms)</t>
  </si>
  <si>
    <t xml:space="preserve">Accuracy / Quality KPI</t>
  </si>
  <si>
    <t xml:space="preserve">Owner</t>
  </si>
  <si>
    <t xml:space="preserve">Owner Email</t>
  </si>
  <si>
    <t xml:space="preserve">Last Audit Date</t>
  </si>
  <si>
    <t xml:space="preserve">Days Since Audit</t>
  </si>
  <si>
    <t xml:space="preserve">Risk Score</t>
  </si>
  <si>
    <t xml:space="preserve">MDL-0001</t>
  </si>
  <si>
    <t xml:space="preserve">Support Ticket Classifier</t>
  </si>
  <si>
    <t xml:space="preserve">gpt-4-turbo-2024-04-09</t>
  </si>
  <si>
    <t xml:space="preserve">Cloud (SaaS API)</t>
  </si>
  <si>
    <t xml:space="preserve">CX / Support</t>
  </si>
  <si>
    <t xml:space="preserve">Classifies inbound customer support tickets and routes to triage queue.</t>
  </si>
  <si>
    <t xml:space="preserve">PASS</t>
  </si>
  <si>
    <t xml:space="preserve">MEASURE</t>
  </si>
  <si>
    <t xml:space="preserve">replay://rcpt/mdl-0001/2026-02-14-a91f</t>
  </si>
  <si>
    <t xml:space="preserve">Macro F1 = 0.91</t>
  </si>
  <si>
    <t xml:space="preserve">Confidential</t>
  </si>
  <si>
    <t xml:space="preserve">Priya Shah</t>
  </si>
  <si>
    <t xml:space="preserve">priya.shah@example.com</t>
  </si>
  <si>
    <t xml:space="preserve">2026-02-14</t>
  </si>
  <si>
    <t xml:space="preserve">MDL-0002</t>
  </si>
  <si>
    <t xml:space="preserve">Predictive Maintenance — Rotating Equipment</t>
  </si>
  <si>
    <t xml:space="preserve">TAO Toolkit 5.3 / Custom CNN</t>
  </si>
  <si>
    <t xml:space="preserve">On-Prem</t>
  </si>
  <si>
    <t xml:space="preserve">Manufacturing</t>
  </si>
  <si>
    <t xml:space="preserve">Anomaly detection on vibration signatures of rotating equipment; flags pending failures.</t>
  </si>
  <si>
    <t xml:space="preserve">MANAGE</t>
  </si>
  <si>
    <t xml:space="preserve">replay://rcpt/mdl-0002/2026-04-02-7c2e</t>
  </si>
  <si>
    <t xml:space="preserve">Recall = 0.96 (catch rate)</t>
  </si>
  <si>
    <t xml:space="preserve">Internal</t>
  </si>
  <si>
    <t xml:space="preserve">Marcus Lee</t>
  </si>
  <si>
    <t xml:space="preserve">marcus.lee@example.com</t>
  </si>
  <si>
    <t xml:space="preserve">2026-04-02</t>
  </si>
  <si>
    <t xml:space="preserve">MDL-0003</t>
  </si>
  <si>
    <t xml:space="preserve">Supplier Risk Summarizer</t>
  </si>
  <si>
    <t xml:space="preserve">claude-3-5-sonnet-20241022</t>
  </si>
  <si>
    <t xml:space="preserve">Supply Chain</t>
  </si>
  <si>
    <t xml:space="preserve">Summarizes supplier filings and news for procurement risk reviews.</t>
  </si>
  <si>
    <t xml:space="preserve">DEFERRED</t>
  </si>
  <si>
    <t xml:space="preserve">MAP</t>
  </si>
  <si>
    <t xml:space="preserve">replay://rcpt/mdl-0003/2025-08-09-3b04</t>
  </si>
  <si>
    <t xml:space="preserve">Faithfulness = 0.88</t>
  </si>
  <si>
    <t xml:space="preserve">Dana Okafor</t>
  </si>
  <si>
    <t xml:space="preserve">dana.okafor@example.com</t>
  </si>
  <si>
    <t xml:space="preserve">2025-08-09</t>
  </si>
  <si>
    <t xml:space="preserve">MDL-0004</t>
  </si>
  <si>
    <t xml:space="preserve">Internal Knowledge Assistant</t>
  </si>
  <si>
    <t xml:space="preserve">llama-3-70b-instruct</t>
  </si>
  <si>
    <t xml:space="preserve">Private Cloud</t>
  </si>
  <si>
    <t xml:space="preserve">IT</t>
  </si>
  <si>
    <t xml:space="preserve">RAG assistant over engineering and HR knowledge bases.</t>
  </si>
  <si>
    <t xml:space="preserve">replay://rcpt/mdl-0004/2026-01-20-d551</t>
  </si>
  <si>
    <t xml:space="preserve">Helpful-rate = 0.82</t>
  </si>
  <si>
    <t xml:space="preserve">Sven Karlsson</t>
  </si>
  <si>
    <t xml:space="preserve">sven.karlsson@example.com</t>
  </si>
  <si>
    <t xml:space="preserve">2026-01-20</t>
  </si>
  <si>
    <t xml:space="preserve">MDL-0005</t>
  </si>
  <si>
    <t xml:space="preserve">Demand Forecast — Top SKUs</t>
  </si>
  <si>
    <t xml:space="preserve">xgboost-2.1 fcst-v7</t>
  </si>
  <si>
    <t xml:space="preserve">Weekly SKU-level demand forecast for the top-revenue product portfolio.</t>
  </si>
  <si>
    <t xml:space="preserve">replay://rcpt/mdl-0005/2026-03-11-9aa0</t>
  </si>
  <si>
    <t xml:space="preserve">MAPE = 6.4%</t>
  </si>
  <si>
    <t xml:space="preserve">Restricted</t>
  </si>
  <si>
    <t xml:space="preserve">Aisha Mohammed</t>
  </si>
  <si>
    <t xml:space="preserve">aisha.mohammed@example.com</t>
  </si>
  <si>
    <t xml:space="preserve">2026-03-11</t>
  </si>
  <si>
    <t xml:space="preserve">MDL-0006</t>
  </si>
  <si>
    <t xml:space="preserve">Marketing Copy Generator</t>
  </si>
  <si>
    <t xml:space="preserve">gemini-1.5-pro-002</t>
  </si>
  <si>
    <t xml:space="preserve">Marketing</t>
  </si>
  <si>
    <t xml:space="preserve">Drafts campaign variants from product brief and brand guidelines.</t>
  </si>
  <si>
    <t xml:space="preserve">replay://rcpt/mdl-0006/2025-11-04-44ee</t>
  </si>
  <si>
    <t xml:space="preserve">Win-rate vs human = 0.61</t>
  </si>
  <si>
    <t xml:space="preserve">Hiroshi Tanaka</t>
  </si>
  <si>
    <t xml:space="preserve">hiroshi.tanaka@example.com</t>
  </si>
  <si>
    <t xml:space="preserve">2025-11-04</t>
  </si>
  <si>
    <t xml:space="preserve">MDL-0007</t>
  </si>
  <si>
    <t xml:space="preserve">Resume Screener (legacy)</t>
  </si>
  <si>
    <t xml:space="preserve">gpt-3.5-turbo-0613</t>
  </si>
  <si>
    <t xml:space="preserve">HR</t>
  </si>
  <si>
    <t xml:space="preserve">Pre-screens applicant resumes against role rubrics. Pending replacement.</t>
  </si>
  <si>
    <t xml:space="preserve">FAIL</t>
  </si>
  <si>
    <t xml:space="preserve">GOVERN</t>
  </si>
  <si>
    <t xml:space="preserve">replay://rcpt/mdl-0007/2024-09-22-fail-21ac</t>
  </si>
  <si>
    <t xml:space="preserve">Precision = 0.74</t>
  </si>
  <si>
    <t xml:space="preserve">Linda Petrov</t>
  </si>
  <si>
    <t xml:space="preserve">linda.petrov@example.com</t>
  </si>
  <si>
    <t xml:space="preserve">2024-09-22</t>
  </si>
  <si>
    <t xml:space="preserve">MDL-0008</t>
  </si>
  <si>
    <t xml:space="preserve">Vision QC — Surface Inspection</t>
  </si>
  <si>
    <t xml:space="preserve">Metropolis VSS 2.4</t>
  </si>
  <si>
    <t xml:space="preserve">Edge</t>
  </si>
  <si>
    <t xml:space="preserve">Real-time defect detection on product surfaces using edge inference.</t>
  </si>
  <si>
    <t xml:space="preserve">replay://rcpt/mdl-0008/2026-03-29-6f17</t>
  </si>
  <si>
    <t xml:space="preserve">Defect AUC = 0.97</t>
  </si>
  <si>
    <t xml:space="preserve">2026-03-29</t>
  </si>
  <si>
    <t xml:space="preserve">MDL-0009</t>
  </si>
  <si>
    <t xml:space="preserve">Contract Clause Extractor</t>
  </si>
  <si>
    <t xml:space="preserve">Azure OpenAI gpt-4o-2024-08-06</t>
  </si>
  <si>
    <t xml:space="preserve">Legal</t>
  </si>
  <si>
    <t xml:space="preserve">Extracts indemnity, liability and IP clauses from supplier contracts.</t>
  </si>
  <si>
    <t xml:space="preserve">Staging</t>
  </si>
  <si>
    <t xml:space="preserve">NOT_RUN</t>
  </si>
  <si>
    <t xml:space="preserve">Recall = 0.89 (eval set)</t>
  </si>
  <si>
    <t xml:space="preserve">Rachel Stein</t>
  </si>
  <si>
    <t xml:space="preserve">rachel.stein@example.com</t>
  </si>
  <si>
    <t xml:space="preserve">2026-04-22</t>
  </si>
  <si>
    <t xml:space="preserve">MDL-0010</t>
  </si>
  <si>
    <t xml:space="preserve">Logistics Route Optimizer</t>
  </si>
  <si>
    <t xml:space="preserve">DBRX-Instruct + custom solver</t>
  </si>
  <si>
    <t xml:space="preserve">Hybrid</t>
  </si>
  <si>
    <t xml:space="preserve">Engineering</t>
  </si>
  <si>
    <t xml:space="preserve">Optimizes delivery fleet routes against fuel/energy prices and capacity constraints.</t>
  </si>
  <si>
    <t xml:space="preserve">replay://rcpt/mdl-0010/2026-03-01-be83</t>
  </si>
  <si>
    <t xml:space="preserve">Cost reduction = 11.2%</t>
  </si>
  <si>
    <t xml:space="preserve">Bob Rapp</t>
  </si>
  <si>
    <t xml:space="preserve">bob.rapp@example.com</t>
  </si>
  <si>
    <t xml:space="preserve">2026-03-01</t>
  </si>
  <si>
    <t xml:space="preserve">Risk Scoring — AIGovOps gate-aware model</t>
  </si>
  <si>
    <t xml:space="preserve">Risk Score is a weighted 0–100 metric. Components reflect the AIGovOps Foundation premise that governance state — not just data sensitivity — drives operational risk.</t>
  </si>
  <si>
    <t xml:space="preserve">Component</t>
  </si>
  <si>
    <t xml:space="preserve">Max Points</t>
  </si>
  <si>
    <t xml:space="preserve">Logic</t>
  </si>
  <si>
    <t xml:space="preserve">Audit Recency</t>
  </si>
  <si>
    <t xml:space="preserve">Linear: (Days Since Audit / 365) × 40, capped at 40. Missing audit date = 40 (max risk).</t>
  </si>
  <si>
    <t xml:space="preserve">Gate Status (AiDevOps)</t>
  </si>
  <si>
    <t xml:space="preserve">PASS = 0  •  DEFERRED = 10  •  NOT_RUN = 12  •  FAIL = 15. Reflects whether the policy-as-code gate has been evaluated and passed.</t>
  </si>
  <si>
    <t xml:space="preserve">Compliant = 0  •  Pending Review = 10  •  Non-Compliant = 20  •  Exempt = 5.</t>
  </si>
  <si>
    <t xml:space="preserve">Public = 0  •  Internal = 5  •  Confidential = 10  •  Restricted = 15.</t>
  </si>
  <si>
    <t xml:space="preserve">Cloud (SaaS API) = 6  •  Private Cloud = 5  •  Hybrid = 7  •  On-Prem = 8  •  Edge = 10.</t>
  </si>
  <si>
    <t xml:space="preserve">Total</t>
  </si>
  <si>
    <t xml:space="preserve">Score range: 0 (no risk) to 100 (maximum risk).</t>
  </si>
  <si>
    <t xml:space="preserve">Trust Tier guidance</t>
  </si>
  <si>
    <t xml:space="preserve">Tier</t>
  </si>
  <si>
    <t xml:space="preserve">Promotion criteria</t>
  </si>
  <si>
    <t xml:space="preserve">What it grants</t>
  </si>
  <si>
    <t xml:space="preserve">No gate run; experimental.</t>
  </si>
  <si>
    <t xml:space="preserve">Sandbox use only. Cannot serve production traffic or sensitive data.</t>
  </si>
  <si>
    <t xml:space="preserve">Gate evaluated; FAIL or DEFERRED acceptable for staging.</t>
  </si>
  <si>
    <t xml:space="preserve">Internal/Public data. Pre-production environments. Human-in-the-loop required.</t>
  </si>
  <si>
    <t xml:space="preserve">Gate PASS; signed evidence receipt on file; owner accountable.</t>
  </si>
  <si>
    <t xml:space="preserve">Internal/Confidential data. Production traffic with monitoring. 180-day re-evaluation.</t>
  </si>
  <si>
    <t xml:space="preserve">Gate PASS + signed receipt + active drift monitoring + 90-day re-evaluation cadence.</t>
  </si>
  <si>
    <t xml:space="preserve">Restricted/Critical data and high-stakes production paths. Highest trust.</t>
  </si>
  <si>
    <t xml:space="preserve">Risk Tier mapping</t>
  </si>
  <si>
    <t xml:space="preserve">Score Range</t>
  </si>
  <si>
    <t xml:space="preserve">Recommended Action</t>
  </si>
  <si>
    <t xml:space="preserve">0 – 24</t>
  </si>
  <si>
    <t xml:space="preserve">Standard annual review.</t>
  </si>
  <si>
    <t xml:space="preserve">25 – 49</t>
  </si>
  <si>
    <t xml:space="preserve">Semi-annual review; verify monitoring coverage and evidence receipt.</t>
  </si>
  <si>
    <t xml:space="preserve">50 – 69</t>
  </si>
  <si>
    <t xml:space="preserve">Quarterly review; require gate re-evaluation and executive sign-off.</t>
  </si>
  <si>
    <t xml:space="preserve">70 – 100</t>
  </si>
  <si>
    <t xml:space="preserve">Immediate review; consider freeze, replacement, or compensating controls.</t>
  </si>
  <si>
    <t xml:space="preserve">Audit Toolkit &amp; Companion Open-Source Projects</t>
  </si>
  <si>
    <t xml:space="preserve">Reference projects from the AIGovOps Foundation ecosystem that plug into this inventory. Each one maps to one or more of the four core pillars.</t>
  </si>
  <si>
    <t xml:space="preserve">Project / Capability</t>
  </si>
  <si>
    <t xml:space="preserve">Pillar</t>
  </si>
  <si>
    <t xml:space="preserve">What it does</t>
  </si>
  <si>
    <t xml:space="preserve">Repository</t>
  </si>
  <si>
    <t xml:space="preserve">aigovops-foundation-os</t>
  </si>
  <si>
    <t xml:space="preserve">01 Governance as Code</t>
  </si>
  <si>
    <t xml:space="preserve">Reference implementation of agentic governance-as-code: policy YAML, OPA/Rego gates, decision cards (GDRs), NIST RMF mappings, AiDevOps pipeline schema. The schemas this workbook mirrors.</t>
  </si>
  <si>
    <t xml:space="preserve">aigovops-Replay</t>
  </si>
  <si>
    <t xml:space="preserve">01 Governance as Code · 03 Operational Compliance</t>
  </si>
  <si>
    <t xml:space="preserve">Cryptographically signed receipt system for AI interactions. Generates the evidence URIs that populate the 'Evidence Receipt URI' column.</t>
  </si>
  <si>
    <t xml:space="preserve">aigovops-prompt-studio</t>
  </si>
  <si>
    <t xml:space="preserve">AI governance prompt engineering platform with wizard UI, 2FA, and immutable audit logging. Source of audit-log entries for prompt-level changes.</t>
  </si>
  <si>
    <t xml:space="preserve">webhook-sentinel</t>
  </si>
  <si>
    <t xml:space="preserve">02 Tech Debt Elimination</t>
  </si>
  <si>
    <t xml:space="preserve">Governance-first PR-review webhook validation. Verifies HMAC-SHA256 on every CI/CD and review delivery so the audit-log entries referenced here are tamper-evident.</t>
  </si>
  <si>
    <t xml:space="preserve">openclaw-installer</t>
  </si>
  <si>
    <t xml:space="preserve">01 Governance as Code · 02 Tech Debt Elimination</t>
  </si>
  <si>
    <t xml:space="preserve">Guided macOS/cloud installer with immutable audit logging built in. Pattern for shipping governed tooling, not just governed models.</t>
  </si>
  <si>
    <t xml:space="preserve">Clean-room migration agent for moving external prototypes into the internal GitHub estate. Required path before any external artifact can earn T1+ trust.</t>
  </si>
  <si>
    <t xml:space="preserve">justice-league-v3-model-agnostic</t>
  </si>
  <si>
    <t xml:space="preserve">01 Governance as Code · 04 Community Standards</t>
  </si>
  <si>
    <t xml:space="preserve">Model-agnostic AIGovOps platform for enterprise agent swarms. Reference architecture for multi-vendor model orchestration that this register tracks.</t>
  </si>
  <si>
    <t xml:space="preserve">aiupdates</t>
  </si>
  <si>
    <t xml:space="preserve">04 Community-Driven Standards</t>
  </si>
  <si>
    <t xml:space="preserve">AIGovOps Foundation intelligence platform — 1,000+ sources across 11 tiers. Feeds external-signal awareness into the governance loop.</t>
  </si>
  <si>
    <t xml:space="preserve">aigovops-global-inclusion-matchmaker</t>
  </si>
  <si>
    <t xml:space="preserve">Policy-as-code for Indigenous and rural AI governance. Demonstrates community-driven standards on this same registry pattern.</t>
  </si>
  <si>
    <t xml:space="preserve">https://github.com/bobrapp/aigovops-global-inclusion-matchmaker</t>
  </si>
  <si>
    <t xml:space="preserve">ai-govops-hub</t>
  </si>
  <si>
    <t xml:space="preserve">AIGovOps community hub repo. Discussions and standards proposals that feed back into the schemas used here.</t>
  </si>
  <si>
    <t xml:space="preserve">https://github.com/bobrapp/ai-govops-hub</t>
  </si>
  <si>
    <t xml:space="preserve">ai-risk-navigator-flow</t>
  </si>
  <si>
    <t xml:space="preserve">03 Operational Compliance</t>
  </si>
  <si>
    <t xml:space="preserve">Workflow for navigating AI risk decisions. Complementary to the risk-scoring logic in this template.</t>
  </si>
  <si>
    <t xml:space="preserve">https://github.com/bobrapp/ai-risk-navigator-flow</t>
  </si>
  <si>
    <t xml:space="preserve">AIGovOps Foundation</t>
  </si>
  <si>
    <t xml:space="preserve">Foundation site</t>
  </si>
  <si>
    <t xml:space="preserve">"Agents do the bureaucracy; humans hold moral legitimacy."</t>
  </si>
  <si>
    <t xml:space="preserve">Audit Log — Change History</t>
  </si>
  <si>
    <t xml:space="preserve">Log ID</t>
  </si>
  <si>
    <t xml:space="preserve">Date</t>
  </si>
  <si>
    <t xml:space="preserve">Change Type</t>
  </si>
  <si>
    <t xml:space="preserve">Performed By</t>
  </si>
  <si>
    <t xml:space="preserve">Notes / Rationale</t>
  </si>
  <si>
    <t xml:space="preserve">Linked Ticket</t>
  </si>
  <si>
    <t xml:space="preserve">LOG-0001</t>
  </si>
  <si>
    <t xml:space="preserve">Promoted to Staging</t>
  </si>
  <si>
    <t xml:space="preserve">Passed eval set with recall 0.89; awaiting legal sign-off before Active.</t>
  </si>
  <si>
    <t xml:space="preserve">JIRA AIGOV-412</t>
  </si>
  <si>
    <t xml:space="preserve">LOG-0002</t>
  </si>
  <si>
    <t xml:space="preserve">Quarterly audit</t>
  </si>
  <si>
    <t xml:space="preserve">Recall stable at 0.96; no drift detected. Continued production approved.</t>
  </si>
  <si>
    <t xml:space="preserve">JIRA AIGOV-401</t>
  </si>
  <si>
    <t xml:space="preserve">LOG-0003</t>
  </si>
  <si>
    <t xml:space="preserve">Version upgrade</t>
  </si>
  <si>
    <t xml:space="preserve">Upgraded Metropolis VSS from 2.3 to 2.4. Latency improved ~12%.</t>
  </si>
  <si>
    <t xml:space="preserve">CR-2204</t>
  </si>
  <si>
    <t xml:space="preserve">LOG-0004</t>
  </si>
  <si>
    <t xml:space="preserve">Cost reduction holding at 11.2%; reviewed grid-price data lineage.</t>
  </si>
  <si>
    <t xml:space="preserve">JIRA AIGOV-388</t>
  </si>
  <si>
    <t xml:space="preserve">LOG-0005</t>
  </si>
  <si>
    <t xml:space="preserve">2025-12-15</t>
  </si>
  <si>
    <t xml:space="preserve">Resume screener flagged Non-Compliant by RAI review; replacement planned Q2 2026.</t>
  </si>
  <si>
    <t xml:space="preserve">JIRA AIGOV-355</t>
  </si>
  <si>
    <t xml:space="preserve">Reference Lists (dropdown sources)</t>
  </si>
  <si>
    <t xml:space="preserve">Deployment Env</t>
  </si>
  <si>
    <t xml:space="preserve">Development</t>
  </si>
  <si>
    <t xml:space="preserve">Public</t>
  </si>
  <si>
    <t xml:space="preserve">Finance</t>
  </si>
  <si>
    <t xml:space="preserve">Sales</t>
  </si>
  <si>
    <t xml:space="preserve">Mistral</t>
  </si>
  <si>
    <t xml:space="preserve">Cohere</t>
  </si>
  <si>
    <t xml:space="preserve">Hugging Face</t>
  </si>
  <si>
    <t xml:space="preserve">R&amp;D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</si>
</sst>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.0%"/>
    <numFmt numFmtId="167" formatCode="0.0"/>
    <numFmt numFmtId="168" formatCode="yyyy\-mm\-dd"/>
    <numFmt numFmtId="169" formatCode="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libri"/>
      <family val="0"/>
      <charset val="1"/>
    </font>
    <font>
      <i val="true"/>
      <sz val="10"/>
      <color rgb="FF7A7974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0"/>
      <color rgb="FF28251D"/>
      <name val="Calibri"/>
      <family val="0"/>
      <charset val="1"/>
    </font>
    <font>
      <sz val="11"/>
      <color rgb="FF28251D"/>
      <name val="Calibri"/>
      <family val="0"/>
      <charset val="1"/>
    </font>
    <font>
      <sz val="11"/>
      <name val="Calibri"/>
      <family val="0"/>
      <charset val="1"/>
    </font>
    <font>
      <b val="true"/>
      <sz val="10"/>
      <color rgb="FF7A7974"/>
      <name val="Calibri"/>
      <family val="0"/>
      <charset val="1"/>
    </font>
    <font>
      <b val="true"/>
      <sz val="20"/>
      <color rgb="FF01696F"/>
      <name val="Calibri"/>
      <family val="0"/>
      <charset val="1"/>
    </font>
    <font>
      <b val="true"/>
      <sz val="1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A12C7B"/>
      <name val="Calibri"/>
      <family val="0"/>
      <charset val="1"/>
    </font>
    <font>
      <b val="true"/>
      <sz val="12"/>
      <color rgb="FF0C4E54"/>
      <name val="Calibri"/>
      <family val="0"/>
      <charset val="1"/>
    </font>
    <font>
      <b val="true"/>
      <sz val="11"/>
      <color rgb="FF0C4E54"/>
      <name val="Calibri"/>
      <family val="0"/>
      <charset val="1"/>
    </font>
    <font>
      <u val="single"/>
      <sz val="10"/>
      <color rgb="FF0C4E54"/>
      <name val="Calibri"/>
      <family val="0"/>
      <charset val="1"/>
    </font>
    <font>
      <u val="single"/>
      <sz val="11"/>
      <color rgb="FF0C4E54"/>
      <name val="Calibri"/>
      <family val="0"/>
      <charset val="1"/>
    </font>
    <font>
      <b val="true"/>
      <sz val="14"/>
      <color rgb="FF0C4E54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0C4E54"/>
        <bgColor rgb="FF01696F"/>
      </patternFill>
    </fill>
    <fill>
      <patternFill patternType="solid">
        <fgColor rgb="FF01696F"/>
        <bgColor rgb="FF008080"/>
      </patternFill>
    </fill>
    <fill>
      <patternFill patternType="solid">
        <fgColor rgb="FFD9E8E9"/>
        <bgColor rgb="FFD4EFDC"/>
      </patternFill>
    </fill>
    <fill>
      <patternFill patternType="solid">
        <fgColor rgb="FFFBFBF9"/>
        <bgColor rgb="FFFFFFFF"/>
      </patternFill>
    </fill>
    <fill>
      <patternFill patternType="solid">
        <fgColor rgb="FFA12C7B"/>
        <bgColor rgb="FF993366"/>
      </patternFill>
    </fill>
    <fill>
      <patternFill patternType="solid">
        <fgColor rgb="FFA8D5DA"/>
        <bgColor rgb="FFCCCCFF"/>
      </patternFill>
    </fill>
    <fill>
      <patternFill patternType="solid">
        <fgColor rgb="FFE89A9F"/>
        <bgColor rgb="FFFF8080"/>
      </patternFill>
    </fill>
    <fill>
      <patternFill patternType="solid">
        <fgColor rgb="FFFCE5C4"/>
        <bgColor rgb="FFEFEEEA"/>
      </patternFill>
    </fill>
    <fill>
      <patternFill patternType="solid">
        <fgColor rgb="FFF4C7C3"/>
        <bgColor rgb="FFD4D1CA"/>
      </patternFill>
    </fill>
    <fill>
      <patternFill patternType="solid">
        <fgColor rgb="FFD4EFDC"/>
        <bgColor rgb="FFD9E8E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4D1CA"/>
      </left>
      <right style="thin">
        <color rgb="FFD4D1CA"/>
      </right>
      <top style="thin">
        <color rgb="FFD4D1CA"/>
      </top>
      <bottom style="thin">
        <color rgb="FFD4D1C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9">
    <dxf>
      <fill>
        <patternFill patternType="solid">
          <fgColor rgb="FF01696F"/>
          <bgColor rgb="FF000000"/>
        </patternFill>
      </fill>
    </dxf>
    <dxf>
      <fill>
        <patternFill patternType="solid">
          <fgColor rgb="FFEFEEEA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28251D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A8D5DA"/>
          <bgColor rgb="FF000000"/>
        </patternFill>
      </fill>
    </dxf>
    <dxf>
      <fill>
        <patternFill patternType="solid">
          <fgColor rgb="FFF4C7C3"/>
          <bgColor rgb="FF000000"/>
        </patternFill>
      </fill>
    </dxf>
    <dxf>
      <fill>
        <patternFill patternType="solid">
          <fgColor rgb="FFFCE5C4"/>
          <bgColor rgb="FF000000"/>
        </patternFill>
      </fill>
    </dxf>
    <dxf>
      <fill>
        <patternFill patternType="solid">
          <fgColor rgb="FFA12C7B"/>
          <bgColor rgb="FF000000"/>
        </patternFill>
      </fill>
    </dxf>
    <dxf>
      <fill>
        <patternFill patternType="solid">
          <fgColor rgb="FFD4EFDC"/>
          <bgColor rgb="FF000000"/>
        </patternFill>
      </fill>
    </dxf>
    <dxf>
      <fill>
        <patternFill patternType="solid">
          <fgColor rgb="FF9DCF7E"/>
          <bgColor rgb="FF000000"/>
        </patternFill>
      </fill>
    </dxf>
    <dxf>
      <fill>
        <patternFill patternType="solid">
          <fgColor rgb="FFA8D27F"/>
          <bgColor rgb="FF000000"/>
        </patternFill>
      </fill>
    </dxf>
    <dxf>
      <fill>
        <patternFill patternType="solid">
          <fgColor rgb="FFAFD47F"/>
          <bgColor rgb="FF000000"/>
        </patternFill>
      </fill>
    </dxf>
    <dxf>
      <fill>
        <patternFill patternType="solid">
          <fgColor rgb="FFBDD780"/>
          <bgColor rgb="FF000000"/>
        </patternFill>
      </fill>
    </dxf>
    <dxf>
      <fill>
        <patternFill patternType="solid">
          <fgColor rgb="FFC0D980"/>
          <bgColor rgb="FF000000"/>
        </patternFill>
      </fill>
    </dxf>
    <dxf>
      <fill>
        <patternFill patternType="solid">
          <fgColor rgb="FFEDE683"/>
          <bgColor rgb="FF000000"/>
        </patternFill>
      </fill>
    </dxf>
    <dxf>
      <fill>
        <patternFill patternType="solid">
          <fgColor rgb="FFF9736D"/>
          <bgColor rgb="FF000000"/>
        </patternFill>
      </fill>
    </dxf>
    <dxf>
      <fill>
        <patternFill patternType="solid">
          <fgColor rgb="FFFDBA7B"/>
          <bgColor rgb="FF000000"/>
        </patternFill>
      </fill>
    </dxf>
    <dxf>
      <fill>
        <patternFill patternType="solid">
          <fgColor rgb="FFFFDB81"/>
          <bgColor rgb="FF000000"/>
        </patternFill>
      </fill>
    </dxf>
    <dxf>
      <fill>
        <patternFill patternType="solid">
          <fgColor rgb="FFE89A9F"/>
          <bgColor rgb="FF000000"/>
        </patternFill>
      </fill>
    </dxf>
    <dxf>
      <fill>
        <patternFill>
          <bgColor rgb="FFF4C7C3"/>
        </patternFill>
      </fill>
    </dxf>
    <dxf>
      <fill>
        <patternFill>
          <bgColor rgb="FFFCE5C4"/>
        </patternFill>
      </fill>
    </dxf>
    <dxf>
      <fill>
        <patternFill>
          <bgColor rgb="FFD4EFDC"/>
        </patternFill>
      </fill>
    </dxf>
    <dxf>
      <font>
        <name val="Calibri"/>
        <charset val="1"/>
        <family val="0"/>
        <b val="1"/>
        <color rgb="FFFFFFFF"/>
      </font>
      <fill>
        <patternFill>
          <bgColor rgb="FFA12C7B"/>
        </patternFill>
      </fill>
    </dxf>
    <dxf>
      <fill>
        <patternFill>
          <bgColor rgb="FFE89A9F"/>
        </patternFill>
      </fill>
    </dxf>
    <dxf>
      <font>
        <name val="Calibri"/>
        <charset val="1"/>
        <family val="0"/>
        <b val="1"/>
        <color rgb="FFA12C7B"/>
      </font>
      <fill>
        <patternFill>
          <bgColor rgb="FFF4C7C3"/>
        </patternFill>
      </fill>
    </dxf>
    <dxf>
      <fill>
        <patternFill>
          <bgColor rgb="FFEFEEEA"/>
        </patternFill>
      </fill>
    </dxf>
    <dxf>
      <font>
        <name val="Calibri"/>
        <charset val="1"/>
        <family val="0"/>
        <b val="1"/>
        <color rgb="FFFFFFFF"/>
      </font>
      <fill>
        <patternFill>
          <bgColor rgb="FF01696F"/>
        </patternFill>
      </fill>
    </dxf>
    <dxf>
      <fill>
        <patternFill>
          <bgColor rgb="FFA8D5DA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1696F"/>
      <rgbColor rgb="FFD4D1CA"/>
      <rgbColor rgb="FF7A7974"/>
      <rgbColor rgb="FF9999FF"/>
      <rgbColor rgb="FFA12C7B"/>
      <rgbColor rgb="FFFBFBF9"/>
      <rgbColor rgb="FFD9E8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FEEEA"/>
      <rgbColor rgb="FFD4EFDC"/>
      <rgbColor rgb="FFFCE5C4"/>
      <rgbColor rgb="FFA8D5DA"/>
      <rgbColor rgb="FFE89A9F"/>
      <rgbColor rgb="FFCC99FF"/>
      <rgbColor rgb="FFF4C7C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C4E54"/>
      <rgbColor rgb="FF339966"/>
      <rgbColor rgb="FF003300"/>
      <rgbColor rgb="FF333300"/>
      <rgbColor rgb="FF993300"/>
      <rgbColor rgb="FF993366"/>
      <rgbColor rgb="FF333399"/>
      <rgbColor rgb="FF28251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github.com/bobrapp/aigovops-foundation-os" TargetMode="External"/><Relationship Id="rId2" Type="http://schemas.openxmlformats.org/officeDocument/2006/relationships/hyperlink" Target="https://github.com/bobrapp/aigovops-Replay" TargetMode="External"/><Relationship Id="rId3" Type="http://schemas.openxmlformats.org/officeDocument/2006/relationships/hyperlink" Target="https://github.com/bobrapp/aigovops-prompt-studio" TargetMode="External"/><Relationship Id="rId4" Type="http://schemas.openxmlformats.org/officeDocument/2006/relationships/hyperlink" Target="https://github.com/bobrapp/webhook-sentinel" TargetMode="External"/><Relationship Id="rId5" Type="http://schemas.openxmlformats.org/officeDocument/2006/relationships/hyperlink" Target="https://github.com/bobrapp/openclaw-installer" TargetMode="External"/><Relationship Id="rId6" Type="http://schemas.openxmlformats.org/officeDocument/2006/relationships/hyperlink" Target="https://github.com/bobrapp/ai-bob-external-to-internal-code-clean-room-agent" TargetMode="External"/><Relationship Id="rId7" Type="http://schemas.openxmlformats.org/officeDocument/2006/relationships/hyperlink" Target="https://github.com/bobrapp/justice-league-v3-model-agnostic" TargetMode="External"/><Relationship Id="rId8" Type="http://schemas.openxmlformats.org/officeDocument/2006/relationships/hyperlink" Target="https://github.com/bobrapp/aiupdates" TargetMode="External"/><Relationship Id="rId9" Type="http://schemas.openxmlformats.org/officeDocument/2006/relationships/hyperlink" Target="https://github.com/bobrapp/aigovops-global-inclusion-matchmaker" TargetMode="External"/><Relationship Id="rId10" Type="http://schemas.openxmlformats.org/officeDocument/2006/relationships/hyperlink" Target="https://github.com/bobrapp/ai-govops-hub" TargetMode="External"/><Relationship Id="rId11" Type="http://schemas.openxmlformats.org/officeDocument/2006/relationships/hyperlink" Target="https://github.com/bobrapp/ai-risk-navigator-flow" TargetMode="External"/><Relationship Id="rId12" Type="http://schemas.openxmlformats.org/officeDocument/2006/relationships/hyperlink" Target="https://www.aigovopsfoundation.org/" TargetMode="Externa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6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8"/>
    <col collapsed="false" customWidth="true" hidden="false" outlineLevel="0" max="3" min="3" style="1" width="95"/>
  </cols>
  <sheetData>
    <row r="2" customFormat="false" ht="36" hidden="false" customHeight="true" outlineLevel="0" collapsed="false">
      <c r="B2" s="2" t="s">
        <v>0</v>
      </c>
      <c r="C2" s="2"/>
    </row>
    <row r="3" customFormat="false" ht="15" hidden="false" customHeight="true" outlineLevel="0" collapsed="false">
      <c r="B3" s="3" t="s">
        <v>1</v>
      </c>
      <c r="C3" s="3"/>
    </row>
    <row r="5" customFormat="false" ht="21.75" hidden="false" customHeight="true" outlineLevel="0" collapsed="false">
      <c r="B5" s="4" t="s">
        <v>2</v>
      </c>
      <c r="C5" s="4"/>
    </row>
    <row r="6" customFormat="false" ht="36" hidden="false" customHeight="true" outlineLevel="0" collapsed="false">
      <c r="B6" s="5" t="s">
        <v>3</v>
      </c>
      <c r="C6" s="6" t="s">
        <v>4</v>
      </c>
    </row>
    <row r="7" customFormat="false" ht="36" hidden="false" customHeight="true" outlineLevel="0" collapsed="false">
      <c r="B7" s="5" t="s">
        <v>5</v>
      </c>
      <c r="C7" s="6" t="s">
        <v>6</v>
      </c>
    </row>
    <row r="8" customFormat="false" ht="36" hidden="false" customHeight="true" outlineLevel="0" collapsed="false">
      <c r="B8" s="5" t="s">
        <v>7</v>
      </c>
      <c r="C8" s="6" t="s">
        <v>8</v>
      </c>
    </row>
    <row r="9" customFormat="false" ht="15" hidden="false" customHeight="false" outlineLevel="0" collapsed="false">
      <c r="B9" s="7"/>
      <c r="C9" s="7"/>
    </row>
    <row r="10" customFormat="false" ht="21.75" hidden="false" customHeight="true" outlineLevel="0" collapsed="false">
      <c r="B10" s="4" t="s">
        <v>9</v>
      </c>
      <c r="C10" s="4"/>
    </row>
    <row r="11" customFormat="false" ht="36" hidden="false" customHeight="true" outlineLevel="0" collapsed="false">
      <c r="B11" s="5" t="s">
        <v>10</v>
      </c>
      <c r="C11" s="6" t="s">
        <v>11</v>
      </c>
    </row>
    <row r="12" customFormat="false" ht="36" hidden="false" customHeight="true" outlineLevel="0" collapsed="false">
      <c r="B12" s="5" t="s">
        <v>12</v>
      </c>
      <c r="C12" s="6" t="s">
        <v>13</v>
      </c>
    </row>
    <row r="13" customFormat="false" ht="36" hidden="false" customHeight="true" outlineLevel="0" collapsed="false">
      <c r="B13" s="5" t="s">
        <v>14</v>
      </c>
      <c r="C13" s="6" t="s">
        <v>15</v>
      </c>
    </row>
    <row r="14" customFormat="false" ht="36" hidden="false" customHeight="true" outlineLevel="0" collapsed="false">
      <c r="B14" s="5" t="s">
        <v>16</v>
      </c>
      <c r="C14" s="6" t="s">
        <v>17</v>
      </c>
    </row>
    <row r="15" customFormat="false" ht="15" hidden="false" customHeight="false" outlineLevel="0" collapsed="false">
      <c r="B15" s="7"/>
      <c r="C15" s="7"/>
    </row>
    <row r="16" customFormat="false" ht="21.75" hidden="false" customHeight="true" outlineLevel="0" collapsed="false">
      <c r="B16" s="4" t="s">
        <v>18</v>
      </c>
      <c r="C16" s="4"/>
    </row>
    <row r="17" customFormat="false" ht="36" hidden="false" customHeight="true" outlineLevel="0" collapsed="false">
      <c r="B17" s="5" t="s">
        <v>19</v>
      </c>
      <c r="C17" s="6" t="s">
        <v>20</v>
      </c>
    </row>
    <row r="18" customFormat="false" ht="36" hidden="false" customHeight="true" outlineLevel="0" collapsed="false">
      <c r="B18" s="5" t="s">
        <v>21</v>
      </c>
      <c r="C18" s="6" t="s">
        <v>22</v>
      </c>
    </row>
    <row r="19" customFormat="false" ht="36" hidden="false" customHeight="true" outlineLevel="0" collapsed="false">
      <c r="B19" s="5" t="s">
        <v>23</v>
      </c>
      <c r="C19" s="6" t="s">
        <v>24</v>
      </c>
    </row>
    <row r="20" customFormat="false" ht="36" hidden="false" customHeight="true" outlineLevel="0" collapsed="false">
      <c r="B20" s="5" t="s">
        <v>25</v>
      </c>
      <c r="C20" s="6" t="s">
        <v>26</v>
      </c>
    </row>
    <row r="21" customFormat="false" ht="15" hidden="false" customHeight="false" outlineLevel="0" collapsed="false">
      <c r="B21" s="7"/>
      <c r="C21" s="7"/>
    </row>
    <row r="22" customFormat="false" ht="21.75" hidden="false" customHeight="true" outlineLevel="0" collapsed="false">
      <c r="B22" s="4" t="s">
        <v>27</v>
      </c>
      <c r="C22" s="4"/>
    </row>
    <row r="23" customFormat="false" ht="36" hidden="false" customHeight="true" outlineLevel="0" collapsed="false">
      <c r="B23" s="5" t="s">
        <v>28</v>
      </c>
      <c r="C23" s="6" t="s">
        <v>29</v>
      </c>
    </row>
    <row r="24" customFormat="false" ht="36" hidden="false" customHeight="true" outlineLevel="0" collapsed="false">
      <c r="B24" s="5" t="s">
        <v>30</v>
      </c>
      <c r="C24" s="6" t="s">
        <v>31</v>
      </c>
    </row>
    <row r="25" customFormat="false" ht="36" hidden="false" customHeight="true" outlineLevel="0" collapsed="false">
      <c r="B25" s="5" t="s">
        <v>32</v>
      </c>
      <c r="C25" s="6" t="s">
        <v>33</v>
      </c>
    </row>
    <row r="26" customFormat="false" ht="36" hidden="false" customHeight="true" outlineLevel="0" collapsed="false">
      <c r="B26" s="5" t="s">
        <v>34</v>
      </c>
      <c r="C26" s="6" t="s">
        <v>35</v>
      </c>
    </row>
    <row r="27" customFormat="false" ht="36" hidden="false" customHeight="true" outlineLevel="0" collapsed="false">
      <c r="B27" s="5" t="s">
        <v>36</v>
      </c>
      <c r="C27" s="6" t="s">
        <v>37</v>
      </c>
    </row>
    <row r="28" customFormat="false" ht="36" hidden="false" customHeight="true" outlineLevel="0" collapsed="false">
      <c r="B28" s="5" t="s">
        <v>38</v>
      </c>
      <c r="C28" s="6" t="s">
        <v>39</v>
      </c>
    </row>
    <row r="29" customFormat="false" ht="36" hidden="false" customHeight="true" outlineLevel="0" collapsed="false">
      <c r="B29" s="5" t="s">
        <v>40</v>
      </c>
      <c r="C29" s="6" t="s">
        <v>41</v>
      </c>
    </row>
    <row r="30" customFormat="false" ht="36" hidden="false" customHeight="true" outlineLevel="0" collapsed="false">
      <c r="B30" s="5" t="s">
        <v>42</v>
      </c>
      <c r="C30" s="6" t="s">
        <v>43</v>
      </c>
    </row>
    <row r="31" customFormat="false" ht="36" hidden="false" customHeight="true" outlineLevel="0" collapsed="false">
      <c r="B31" s="5" t="s">
        <v>44</v>
      </c>
      <c r="C31" s="6" t="s">
        <v>45</v>
      </c>
    </row>
    <row r="32" customFormat="false" ht="36" hidden="false" customHeight="true" outlineLevel="0" collapsed="false">
      <c r="B32" s="5" t="s">
        <v>46</v>
      </c>
      <c r="C32" s="6" t="s">
        <v>47</v>
      </c>
    </row>
    <row r="33" customFormat="false" ht="36" hidden="false" customHeight="true" outlineLevel="0" collapsed="false">
      <c r="B33" s="5" t="s">
        <v>48</v>
      </c>
      <c r="C33" s="6" t="s">
        <v>49</v>
      </c>
    </row>
    <row r="34" customFormat="false" ht="36" hidden="false" customHeight="true" outlineLevel="0" collapsed="false">
      <c r="B34" s="5" t="s">
        <v>50</v>
      </c>
      <c r="C34" s="6" t="s">
        <v>51</v>
      </c>
    </row>
    <row r="35" customFormat="false" ht="36" hidden="false" customHeight="true" outlineLevel="0" collapsed="false">
      <c r="B35" s="5" t="s">
        <v>52</v>
      </c>
      <c r="C35" s="6" t="s">
        <v>53</v>
      </c>
    </row>
    <row r="36" customFormat="false" ht="36" hidden="false" customHeight="true" outlineLevel="0" collapsed="false">
      <c r="B36" s="5" t="s">
        <v>54</v>
      </c>
      <c r="C36" s="6" t="s">
        <v>55</v>
      </c>
    </row>
    <row r="37" customFormat="false" ht="36" hidden="false" customHeight="true" outlineLevel="0" collapsed="false">
      <c r="B37" s="5" t="s">
        <v>56</v>
      </c>
      <c r="C37" s="6" t="s">
        <v>57</v>
      </c>
    </row>
    <row r="38" customFormat="false" ht="36" hidden="false" customHeight="true" outlineLevel="0" collapsed="false">
      <c r="B38" s="5" t="s">
        <v>58</v>
      </c>
      <c r="C38" s="6" t="s">
        <v>59</v>
      </c>
    </row>
    <row r="39" customFormat="false" ht="36" hidden="false" customHeight="true" outlineLevel="0" collapsed="false">
      <c r="B39" s="5" t="s">
        <v>60</v>
      </c>
      <c r="C39" s="6" t="s">
        <v>61</v>
      </c>
    </row>
    <row r="40" customFormat="false" ht="36" hidden="false" customHeight="true" outlineLevel="0" collapsed="false">
      <c r="B40" s="5" t="s">
        <v>62</v>
      </c>
      <c r="C40" s="6" t="s">
        <v>63</v>
      </c>
    </row>
    <row r="41" customFormat="false" ht="15" hidden="false" customHeight="false" outlineLevel="0" collapsed="false">
      <c r="B41" s="7"/>
      <c r="C41" s="7"/>
    </row>
    <row r="42" customFormat="false" ht="21.75" hidden="false" customHeight="true" outlineLevel="0" collapsed="false">
      <c r="B42" s="4" t="s">
        <v>64</v>
      </c>
      <c r="C42" s="4"/>
    </row>
    <row r="43" customFormat="false" ht="36" hidden="false" customHeight="true" outlineLevel="0" collapsed="false">
      <c r="B43" s="5" t="s">
        <v>65</v>
      </c>
      <c r="C43" s="6" t="s">
        <v>66</v>
      </c>
    </row>
    <row r="44" customFormat="false" ht="36" hidden="false" customHeight="true" outlineLevel="0" collapsed="false">
      <c r="B44" s="5" t="s">
        <v>67</v>
      </c>
      <c r="C44" s="6" t="s">
        <v>68</v>
      </c>
    </row>
    <row r="45" customFormat="false" ht="36" hidden="false" customHeight="true" outlineLevel="0" collapsed="false">
      <c r="B45" s="5" t="s">
        <v>69</v>
      </c>
      <c r="C45" s="6" t="s">
        <v>70</v>
      </c>
    </row>
    <row r="46" customFormat="false" ht="36" hidden="false" customHeight="true" outlineLevel="0" collapsed="false">
      <c r="B46" s="5" t="s">
        <v>71</v>
      </c>
      <c r="C46" s="6" t="s">
        <v>72</v>
      </c>
    </row>
    <row r="47" customFormat="false" ht="36" hidden="false" customHeight="true" outlineLevel="0" collapsed="false">
      <c r="B47" s="5" t="s">
        <v>73</v>
      </c>
      <c r="C47" s="6" t="s">
        <v>74</v>
      </c>
    </row>
    <row r="48" customFormat="false" ht="15" hidden="false" customHeight="false" outlineLevel="0" collapsed="false">
      <c r="B48" s="7"/>
      <c r="C48" s="7"/>
    </row>
    <row r="49" customFormat="false" ht="21.75" hidden="false" customHeight="true" outlineLevel="0" collapsed="false">
      <c r="B49" s="4" t="s">
        <v>75</v>
      </c>
      <c r="C49" s="4"/>
    </row>
    <row r="50" customFormat="false" ht="36" hidden="false" customHeight="true" outlineLevel="0" collapsed="false">
      <c r="B50" s="5" t="s">
        <v>76</v>
      </c>
      <c r="C50" s="6" t="s">
        <v>77</v>
      </c>
    </row>
    <row r="51" customFormat="false" ht="36" hidden="false" customHeight="true" outlineLevel="0" collapsed="false">
      <c r="B51" s="5" t="s">
        <v>78</v>
      </c>
      <c r="C51" s="6" t="s">
        <v>79</v>
      </c>
    </row>
    <row r="52" customFormat="false" ht="36" hidden="false" customHeight="true" outlineLevel="0" collapsed="false">
      <c r="B52" s="5" t="s">
        <v>80</v>
      </c>
      <c r="C52" s="6" t="s">
        <v>81</v>
      </c>
    </row>
    <row r="53" customFormat="false" ht="36" hidden="false" customHeight="true" outlineLevel="0" collapsed="false">
      <c r="B53" s="5" t="s">
        <v>82</v>
      </c>
      <c r="C53" s="6" t="s">
        <v>83</v>
      </c>
    </row>
    <row r="54" customFormat="false" ht="15" hidden="false" customHeight="false" outlineLevel="0" collapsed="false">
      <c r="B54" s="7"/>
      <c r="C54" s="7"/>
    </row>
    <row r="55" customFormat="false" ht="21.75" hidden="false" customHeight="true" outlineLevel="0" collapsed="false">
      <c r="B55" s="4" t="s">
        <v>84</v>
      </c>
      <c r="C55" s="4"/>
    </row>
    <row r="56" customFormat="false" ht="36" hidden="false" customHeight="true" outlineLevel="0" collapsed="false">
      <c r="B56" s="5" t="s">
        <v>85</v>
      </c>
      <c r="C56" s="6" t="s">
        <v>86</v>
      </c>
    </row>
    <row r="57" customFormat="false" ht="36" hidden="false" customHeight="true" outlineLevel="0" collapsed="false">
      <c r="B57" s="5" t="s">
        <v>87</v>
      </c>
      <c r="C57" s="6" t="s">
        <v>88</v>
      </c>
    </row>
    <row r="58" customFormat="false" ht="36" hidden="false" customHeight="true" outlineLevel="0" collapsed="false">
      <c r="B58" s="8" t="s">
        <v>89</v>
      </c>
      <c r="C58" s="9" t="s">
        <v>90</v>
      </c>
    </row>
    <row r="59" customFormat="false" ht="36" hidden="false" customHeight="true" outlineLevel="0" collapsed="false">
      <c r="B59" s="8" t="s">
        <v>91</v>
      </c>
      <c r="C59" s="9" t="s">
        <v>92</v>
      </c>
    </row>
    <row r="60" customFormat="false" ht="36" hidden="false" customHeight="true" outlineLevel="0" collapsed="false">
      <c r="B60" s="8" t="s">
        <v>93</v>
      </c>
      <c r="C60" s="9" t="s">
        <v>94</v>
      </c>
    </row>
    <row r="61" customFormat="false" ht="36" hidden="false" customHeight="true" outlineLevel="0" collapsed="false">
      <c r="B61" s="8" t="s">
        <v>95</v>
      </c>
      <c r="C61" s="9" t="s">
        <v>96</v>
      </c>
    </row>
    <row r="62" customFormat="false" ht="36" hidden="false" customHeight="true" outlineLevel="0" collapsed="false">
      <c r="B62" s="8" t="s">
        <v>97</v>
      </c>
      <c r="C62" s="9" t="s">
        <v>98</v>
      </c>
    </row>
    <row r="63" customFormat="false" ht="36" hidden="false" customHeight="true" outlineLevel="0" collapsed="false">
      <c r="B63" s="8" t="s">
        <v>99</v>
      </c>
      <c r="C63" s="9" t="s">
        <v>100</v>
      </c>
    </row>
    <row r="64" customFormat="false" ht="36" hidden="false" customHeight="true" outlineLevel="0" collapsed="false">
      <c r="B64" s="8" t="s">
        <v>101</v>
      </c>
      <c r="C64" s="9" t="s">
        <v>102</v>
      </c>
    </row>
    <row r="65" customFormat="false" ht="36" hidden="false" customHeight="true" outlineLevel="0" collapsed="false">
      <c r="B65" s="8" t="s">
        <v>103</v>
      </c>
      <c r="C65" s="9" t="s">
        <v>104</v>
      </c>
    </row>
    <row r="66" customFormat="false" ht="36" hidden="false" customHeight="true" outlineLevel="0" collapsed="false">
      <c r="B66" s="8" t="s">
        <v>105</v>
      </c>
      <c r="C66" s="9" t="s">
        <v>106</v>
      </c>
    </row>
  </sheetData>
  <mergeCells count="9">
    <mergeCell ref="B2:C2"/>
    <mergeCell ref="B3:C3"/>
    <mergeCell ref="B5:C5"/>
    <mergeCell ref="B10:C10"/>
    <mergeCell ref="B16:C16"/>
    <mergeCell ref="B22:C22"/>
    <mergeCell ref="B42:C42"/>
    <mergeCell ref="B49:C49"/>
    <mergeCell ref="B55:C5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6"/>
    <col collapsed="false" customWidth="true" hidden="false" outlineLevel="0" max="5" min="3" style="1" width="18"/>
    <col collapsed="false" customWidth="true" hidden="false" outlineLevel="0" max="6" min="6" style="1" width="4"/>
    <col collapsed="false" customWidth="true" hidden="false" outlineLevel="0" max="7" min="7" style="1" width="22"/>
    <col collapsed="false" customWidth="true" hidden="false" outlineLevel="0" max="8" min="8" style="1" width="18"/>
  </cols>
  <sheetData>
    <row r="1" customFormat="false" ht="15" hidden="false" customHeight="false" outlineLevel="0" collapsed="false">
      <c r="A1" s="10"/>
      <c r="B1" s="10"/>
      <c r="C1" s="10"/>
      <c r="D1" s="10"/>
      <c r="E1" s="10"/>
      <c r="F1" s="10"/>
      <c r="G1" s="10"/>
    </row>
    <row r="2" customFormat="false" ht="36" hidden="false" customHeight="true" outlineLevel="0" collapsed="false">
      <c r="A2" s="10"/>
      <c r="B2" s="2" t="s">
        <v>107</v>
      </c>
      <c r="C2" s="2"/>
      <c r="D2" s="2"/>
      <c r="E2" s="2"/>
      <c r="F2" s="2"/>
      <c r="G2" s="2"/>
    </row>
    <row r="3" customFormat="false" ht="15" hidden="false" customHeight="false" outlineLevel="0" collapsed="false">
      <c r="A3" s="10"/>
      <c r="B3" s="11" t="s">
        <v>108</v>
      </c>
      <c r="C3" s="10"/>
      <c r="D3" s="10"/>
      <c r="E3" s="10"/>
      <c r="F3" s="10"/>
      <c r="G3" s="10"/>
    </row>
    <row r="4" customFormat="false" ht="15" hidden="false" customHeight="false" outlineLevel="0" collapsed="false">
      <c r="A4" s="10"/>
      <c r="B4" s="10"/>
      <c r="C4" s="10"/>
      <c r="D4" s="10"/>
      <c r="E4" s="10"/>
      <c r="F4" s="10"/>
      <c r="G4" s="10"/>
    </row>
    <row r="5" customFormat="false" ht="21.75" hidden="false" customHeight="true" outlineLevel="0" collapsed="false">
      <c r="A5" s="10"/>
      <c r="B5" s="12" t="s">
        <v>109</v>
      </c>
      <c r="C5" s="12" t="s">
        <v>110</v>
      </c>
      <c r="D5" s="12" t="s">
        <v>111</v>
      </c>
      <c r="E5" s="10"/>
      <c r="F5" s="12" t="s">
        <v>112</v>
      </c>
      <c r="G5" s="10"/>
    </row>
    <row r="6" customFormat="false" ht="42" hidden="false" customHeight="true" outlineLevel="0" collapsed="false">
      <c r="A6" s="10"/>
      <c r="B6" s="13" t="n">
        <f aca="false">COUNTA('Model Inventory'!$C$5:$C$54)</f>
        <v>10</v>
      </c>
      <c r="C6" s="13" t="n">
        <f aca="false">COUNTIF('Model Inventory'!$I$5:$I$54,"Active")</f>
        <v>8</v>
      </c>
      <c r="D6" s="13" t="n">
        <f aca="false">COUNTIF('Model Inventory'!$I$5:$I$54,"Deprecated")</f>
        <v>1</v>
      </c>
      <c r="E6" s="10"/>
      <c r="F6" s="13" t="n">
        <f aca="false">COUNTIF('Model Inventory'!$I$5:$I$54,"Retired")</f>
        <v>0</v>
      </c>
      <c r="G6" s="10"/>
    </row>
    <row r="7" customFormat="false" ht="15" hidden="false" customHeight="false" outlineLevel="0" collapsed="false">
      <c r="A7" s="10"/>
      <c r="B7" s="10"/>
      <c r="C7" s="10"/>
      <c r="D7" s="10"/>
      <c r="E7" s="10"/>
      <c r="F7" s="10"/>
      <c r="G7" s="10"/>
    </row>
    <row r="8" customFormat="false" ht="21.75" hidden="false" customHeight="true" outlineLevel="0" collapsed="false">
      <c r="A8" s="10"/>
      <c r="B8" s="12" t="s">
        <v>113</v>
      </c>
      <c r="C8" s="12" t="s">
        <v>114</v>
      </c>
      <c r="D8" s="12" t="s">
        <v>115</v>
      </c>
      <c r="E8" s="10"/>
      <c r="F8" s="12" t="s">
        <v>116</v>
      </c>
      <c r="G8" s="10"/>
    </row>
    <row r="9" customFormat="false" ht="42" hidden="false" customHeight="true" outlineLevel="0" collapsed="false">
      <c r="A9" s="10"/>
      <c r="B9" s="13" t="n">
        <f aca="false">SUMPRODUCT(--('Model Inventory'!$W$5:$W$54&lt;&gt;""),--(IFERROR('Model Inventory'!$W$5:$W$54&lt;=365,FALSE())))</f>
        <v>9</v>
      </c>
      <c r="C9" s="13" t="n">
        <f aca="false">SUMPRODUCT(--('Model Inventory'!$W$5:$W$54&lt;&gt;""),--(IFERROR('Model Inventory'!$W$5:$W$54&gt;365,FALSE())))+COUNTIFS('Model Inventory'!$C$5:$C$54,"?*",'Model Inventory'!$V$5:$V$54,"")</f>
        <v>1</v>
      </c>
      <c r="D9" s="14" t="n">
        <f aca="false">IFERROR((SUMPRODUCT(--('Model Inventory'!$W$5:$W$54&lt;&gt;""),--(IFERROR('Model Inventory'!$W$5:$W$54&gt;365,FALSE())))+COUNTIFS('Model Inventory'!$C$5:$C$54,"?*",'Model Inventory'!$V$5:$V$54,""))/COUNTA('Model Inventory'!$C$5:$C$54),0)</f>
        <v>0.1</v>
      </c>
      <c r="E9" s="10"/>
      <c r="F9" s="15" t="n">
        <f aca="false">IFERROR(AVERAGEIF('Model Inventory'!$X$5:$X$54,"&lt;&gt;"),0)</f>
        <v>38.6</v>
      </c>
      <c r="G9" s="10"/>
    </row>
    <row r="10" customFormat="false" ht="15" hidden="false" customHeight="false" outlineLevel="0" collapsed="false">
      <c r="A10" s="10"/>
      <c r="B10" s="10"/>
      <c r="C10" s="10"/>
      <c r="D10" s="10"/>
      <c r="E10" s="10"/>
      <c r="F10" s="10"/>
      <c r="G10" s="10"/>
    </row>
    <row r="11" customFormat="false" ht="21.75" hidden="false" customHeight="true" outlineLevel="0" collapsed="false">
      <c r="A11" s="10"/>
      <c r="B11" s="12" t="s">
        <v>117</v>
      </c>
      <c r="C11" s="12" t="s">
        <v>118</v>
      </c>
      <c r="D11" s="12" t="s">
        <v>119</v>
      </c>
      <c r="E11" s="10"/>
      <c r="F11" s="12" t="s">
        <v>120</v>
      </c>
      <c r="G11" s="10"/>
    </row>
    <row r="12" customFormat="false" ht="42" hidden="false" customHeight="true" outlineLevel="0" collapsed="false">
      <c r="A12" s="10"/>
      <c r="B12" s="13" t="n">
        <f aca="false">COUNTIF('Model Inventory'!$K$5:$K$54,"PASS")</f>
        <v>6</v>
      </c>
      <c r="C12" s="13" t="n">
        <f aca="false">COUNTIF('Model Inventory'!$K$5:$K$54,"FAIL")+COUNTIF('Model Inventory'!$K$5:$K$54,"DEFERRED")</f>
        <v>3</v>
      </c>
      <c r="D12" s="13" t="n">
        <f aca="false">COUNTIF('Model Inventory'!$K$5:$K$54,"NOT_RUN")</f>
        <v>1</v>
      </c>
      <c r="E12" s="10"/>
      <c r="F12" s="13" t="n">
        <f aca="false">SUMPRODUCT(--('Model Inventory'!$C$5:$C$54&lt;&gt;""),--('Model Inventory'!$M$5:$M$54=""))</f>
        <v>1</v>
      </c>
      <c r="G12" s="10"/>
    </row>
    <row r="13" customFormat="false" ht="15" hidden="false" customHeight="false" outlineLevel="0" collapsed="false">
      <c r="A13" s="10"/>
      <c r="B13" s="10"/>
      <c r="C13" s="10"/>
      <c r="D13" s="10"/>
      <c r="E13" s="10"/>
      <c r="F13" s="10"/>
      <c r="G13" s="10"/>
    </row>
    <row r="14" customFormat="false" ht="15" hidden="false" customHeight="false" outlineLevel="0" collapsed="false">
      <c r="A14" s="10"/>
      <c r="B14" s="10"/>
      <c r="C14" s="16"/>
      <c r="D14" s="17"/>
      <c r="E14" s="10"/>
      <c r="F14" s="10"/>
      <c r="G14" s="16"/>
    </row>
    <row r="15" customFormat="false" ht="21.75" hidden="false" customHeight="true" outlineLevel="0" collapsed="false">
      <c r="A15" s="10"/>
      <c r="B15" s="4" t="s">
        <v>121</v>
      </c>
      <c r="C15" s="4"/>
      <c r="D15" s="4"/>
      <c r="E15" s="10"/>
      <c r="F15" s="4" t="s">
        <v>122</v>
      </c>
      <c r="G15" s="4"/>
    </row>
    <row r="16" customFormat="false" ht="23.85" hidden="false" customHeight="false" outlineLevel="0" collapsed="false">
      <c r="A16" s="10"/>
      <c r="B16" s="18" t="s">
        <v>44</v>
      </c>
      <c r="C16" s="19" t="s">
        <v>123</v>
      </c>
      <c r="D16" s="20" t="s">
        <v>124</v>
      </c>
      <c r="E16" s="10"/>
      <c r="F16" s="18" t="s">
        <v>125</v>
      </c>
      <c r="G16" s="19" t="s">
        <v>123</v>
      </c>
    </row>
    <row r="17" customFormat="false" ht="28.35" hidden="false" customHeight="false" outlineLevel="0" collapsed="false">
      <c r="A17" s="10"/>
      <c r="B17" s="21" t="s">
        <v>126</v>
      </c>
      <c r="C17" s="22" t="n">
        <f aca="false">COUNTIF('Model Inventory'!$J$5:$J$54,"T3")</f>
        <v>3</v>
      </c>
      <c r="D17" s="23" t="n">
        <f aca="false">IFERROR(C17/COUNTA('Model Inventory'!$C$5:$C$54),0)</f>
        <v>0.3</v>
      </c>
      <c r="E17" s="10"/>
      <c r="F17" s="24" t="s">
        <v>127</v>
      </c>
      <c r="G17" s="22" t="n">
        <f aca="false">COUNTIF('Model Inventory'!$Y$5:$Y$54,"Critical")</f>
        <v>1</v>
      </c>
    </row>
    <row r="18" customFormat="false" ht="28.35" hidden="false" customHeight="false" outlineLevel="0" collapsed="false">
      <c r="A18" s="10"/>
      <c r="B18" s="25" t="s">
        <v>128</v>
      </c>
      <c r="C18" s="22" t="n">
        <f aca="false">COUNTIF('Model Inventory'!$J$5:$J$54,"T2")</f>
        <v>3</v>
      </c>
      <c r="D18" s="23" t="n">
        <f aca="false">IFERROR(C18/COUNTA('Model Inventory'!$C$5:$C$54),0)</f>
        <v>0.3</v>
      </c>
      <c r="E18" s="10"/>
      <c r="F18" s="26" t="s">
        <v>129</v>
      </c>
      <c r="G18" s="22" t="n">
        <f aca="false">COUNTIF('Model Inventory'!$Y$5:$Y$54,"High")</f>
        <v>2</v>
      </c>
    </row>
    <row r="19" customFormat="false" ht="41.75" hidden="false" customHeight="false" outlineLevel="0" collapsed="false">
      <c r="A19" s="10"/>
      <c r="B19" s="27" t="s">
        <v>130</v>
      </c>
      <c r="C19" s="22" t="n">
        <f aca="false">COUNTIF('Model Inventory'!$J$5:$J$54,"T1")</f>
        <v>3</v>
      </c>
      <c r="D19" s="23" t="n">
        <f aca="false">IFERROR(C19/COUNTA('Model Inventory'!$C$5:$C$54),0)</f>
        <v>0.3</v>
      </c>
      <c r="E19" s="10"/>
      <c r="F19" s="27" t="s">
        <v>131</v>
      </c>
      <c r="G19" s="22" t="n">
        <f aca="false">COUNTIF('Model Inventory'!$Y$5:$Y$54,"Medium")</f>
        <v>3</v>
      </c>
    </row>
    <row r="20" customFormat="false" ht="28.35" hidden="false" customHeight="false" outlineLevel="0" collapsed="false">
      <c r="A20" s="10"/>
      <c r="B20" s="28" t="s">
        <v>132</v>
      </c>
      <c r="C20" s="22" t="n">
        <f aca="false">COUNTIF('Model Inventory'!$J$5:$J$54,"T0")</f>
        <v>1</v>
      </c>
      <c r="D20" s="23" t="n">
        <f aca="false">IFERROR(C20/COUNTA('Model Inventory'!$C$5:$C$54),0)</f>
        <v>0.1</v>
      </c>
      <c r="E20" s="10"/>
      <c r="F20" s="29" t="s">
        <v>133</v>
      </c>
      <c r="G20" s="22" t="n">
        <f aca="false">COUNTIF('Model Inventory'!$Y$5:$Y$54,"Low")</f>
        <v>4</v>
      </c>
    </row>
    <row r="21" customFormat="false" ht="15" hidden="false" customHeight="false" outlineLevel="0" collapsed="false">
      <c r="A21" s="10"/>
      <c r="B21" s="10"/>
      <c r="C21" s="10"/>
      <c r="D21" s="10"/>
      <c r="E21" s="10"/>
      <c r="F21" s="10"/>
      <c r="G21" s="16"/>
    </row>
    <row r="22" customFormat="false" ht="21.75" hidden="false" customHeight="true" outlineLevel="0" collapsed="false">
      <c r="A22" s="10"/>
      <c r="B22" s="4" t="s">
        <v>134</v>
      </c>
      <c r="C22" s="4"/>
      <c r="D22" s="4"/>
      <c r="E22" s="10"/>
      <c r="F22" s="4" t="s">
        <v>54</v>
      </c>
      <c r="G22" s="4"/>
    </row>
    <row r="23" customFormat="false" ht="23.85" hidden="false" customHeight="false" outlineLevel="0" collapsed="false">
      <c r="A23" s="10"/>
      <c r="B23" s="18" t="s">
        <v>32</v>
      </c>
      <c r="C23" s="18" t="s">
        <v>123</v>
      </c>
      <c r="D23" s="18" t="s">
        <v>124</v>
      </c>
      <c r="E23" s="10"/>
      <c r="F23" s="18" t="s">
        <v>42</v>
      </c>
      <c r="G23" s="19" t="s">
        <v>123</v>
      </c>
    </row>
    <row r="24" customFormat="false" ht="41.75" hidden="false" customHeight="false" outlineLevel="0" collapsed="false">
      <c r="A24" s="10"/>
      <c r="B24" s="30" t="s">
        <v>135</v>
      </c>
      <c r="C24" s="22" t="n">
        <f aca="false">COUNTIF('Model Inventory'!$D$5:$D$54,"OpenAI")</f>
        <v>2</v>
      </c>
      <c r="D24" s="23" t="n">
        <f aca="false">IFERROR(C24/COUNTA('Model Inventory'!$C$5:$C$54),0)</f>
        <v>0.2</v>
      </c>
      <c r="E24" s="10"/>
      <c r="F24" s="30" t="s">
        <v>136</v>
      </c>
      <c r="G24" s="22" t="n">
        <f aca="false">COUNTIF('Model Inventory'!$R$5:$R$54,"Compliant")</f>
        <v>6</v>
      </c>
    </row>
    <row r="25" customFormat="false" ht="68.65" hidden="false" customHeight="false" outlineLevel="0" collapsed="false">
      <c r="A25" s="10"/>
      <c r="B25" s="30" t="s">
        <v>137</v>
      </c>
      <c r="C25" s="22" t="n">
        <f aca="false">COUNTIF('Model Inventory'!$D$5:$D$54,"Anthropic")</f>
        <v>1</v>
      </c>
      <c r="D25" s="23" t="n">
        <f aca="false">IFERROR(C25/COUNTA('Model Inventory'!$C$5:$C$54),0)</f>
        <v>0.1</v>
      </c>
      <c r="E25" s="10"/>
      <c r="F25" s="30" t="s">
        <v>138</v>
      </c>
      <c r="G25" s="22" t="n">
        <f aca="false">COUNTIF('Model Inventory'!$R$5:$R$54,"Pending Review")</f>
        <v>3</v>
      </c>
    </row>
    <row r="26" customFormat="false" ht="68.65" hidden="false" customHeight="false" outlineLevel="0" collapsed="false">
      <c r="A26" s="10"/>
      <c r="B26" s="30" t="s">
        <v>139</v>
      </c>
      <c r="C26" s="22" t="n">
        <f aca="false">COUNTIF('Model Inventory'!$D$5:$D$54,"Google")</f>
        <v>1</v>
      </c>
      <c r="D26" s="23" t="n">
        <f aca="false">IFERROR(C26/COUNTA('Model Inventory'!$C$5:$C$54),0)</f>
        <v>0.1</v>
      </c>
      <c r="E26" s="10"/>
      <c r="F26" s="30" t="s">
        <v>140</v>
      </c>
      <c r="G26" s="22" t="n">
        <f aca="false">COUNTIF('Model Inventory'!$R$5:$R$54,"Non-Compliant")</f>
        <v>1</v>
      </c>
    </row>
    <row r="27" customFormat="false" ht="28.35" hidden="false" customHeight="false" outlineLevel="0" collapsed="false">
      <c r="A27" s="10"/>
      <c r="B27" s="30" t="s">
        <v>141</v>
      </c>
      <c r="C27" s="22" t="n">
        <f aca="false">COUNTIF('Model Inventory'!$D$5:$D$54,"Meta")</f>
        <v>1</v>
      </c>
      <c r="D27" s="23" t="n">
        <f aca="false">IFERROR(C27/COUNTA('Model Inventory'!$C$5:$C$54),0)</f>
        <v>0.1</v>
      </c>
      <c r="E27" s="10"/>
      <c r="F27" s="30" t="s">
        <v>142</v>
      </c>
      <c r="G27" s="22" t="n">
        <f aca="false">COUNTIF('Model Inventory'!$R$5:$R$54,"Exempt")</f>
        <v>0</v>
      </c>
    </row>
    <row r="28" customFormat="false" ht="15" hidden="false" customHeight="false" outlineLevel="0" collapsed="false">
      <c r="A28" s="10"/>
      <c r="B28" s="30" t="s">
        <v>143</v>
      </c>
      <c r="C28" s="22" t="n">
        <f aca="false">COUNTIF('Model Inventory'!$D$5:$D$54,"Microsoft")</f>
        <v>1</v>
      </c>
      <c r="D28" s="23" t="n">
        <f aca="false">IFERROR(C28/COUNTA('Model Inventory'!$C$5:$C$54),0)</f>
        <v>0.1</v>
      </c>
      <c r="E28" s="10"/>
      <c r="F28" s="10"/>
      <c r="G28" s="16"/>
    </row>
    <row r="29" customFormat="false" ht="15" hidden="false" customHeight="false" outlineLevel="0" collapsed="false">
      <c r="A29" s="10"/>
      <c r="B29" s="30" t="s">
        <v>144</v>
      </c>
      <c r="C29" s="22" t="n">
        <f aca="false">COUNTIF('Model Inventory'!$D$5:$D$54,"NVIDIA")</f>
        <v>2</v>
      </c>
      <c r="D29" s="23" t="n">
        <f aca="false">IFERROR(C29/COUNTA('Model Inventory'!$C$5:$C$54),0)</f>
        <v>0.2</v>
      </c>
      <c r="E29" s="10"/>
      <c r="F29" s="10"/>
      <c r="G29" s="16"/>
    </row>
    <row r="30" customFormat="false" ht="15" hidden="false" customHeight="false" outlineLevel="0" collapsed="false">
      <c r="A30" s="10"/>
      <c r="B30" s="30" t="s">
        <v>145</v>
      </c>
      <c r="C30" s="22" t="n">
        <f aca="false">COUNTIF('Model Inventory'!$D$5:$D$54,"AWS")</f>
        <v>0</v>
      </c>
      <c r="D30" s="23" t="n">
        <f aca="false">IFERROR(C30/COUNTA('Model Inventory'!$C$5:$C$54),0)</f>
        <v>0</v>
      </c>
      <c r="E30" s="10"/>
      <c r="F30" s="10"/>
      <c r="G30" s="16"/>
    </row>
    <row r="31" customFormat="false" ht="15" hidden="false" customHeight="false" outlineLevel="0" collapsed="false">
      <c r="A31" s="10"/>
      <c r="B31" s="30" t="s">
        <v>146</v>
      </c>
      <c r="C31" s="22" t="n">
        <f aca="false">COUNTIF('Model Inventory'!$D$5:$D$54,"Databricks")</f>
        <v>1</v>
      </c>
      <c r="D31" s="23" t="n">
        <f aca="false">IFERROR(C31/COUNTA('Model Inventory'!$C$5:$C$54),0)</f>
        <v>0.1</v>
      </c>
      <c r="E31" s="10"/>
      <c r="F31" s="10"/>
      <c r="G31" s="10"/>
    </row>
    <row r="32" customFormat="false" ht="15" hidden="false" customHeight="false" outlineLevel="0" collapsed="false">
      <c r="A32" s="10"/>
      <c r="B32" s="30" t="s">
        <v>147</v>
      </c>
      <c r="C32" s="22" t="n">
        <f aca="false">COUNTIF('Model Inventory'!$D$5:$D$54,"In-house")</f>
        <v>1</v>
      </c>
      <c r="D32" s="23" t="n">
        <f aca="false">IFERROR(C32/COUNTA('Model Inventory'!$C$5:$C$54),0)</f>
        <v>0.1</v>
      </c>
      <c r="E32" s="10"/>
      <c r="F32" s="10"/>
      <c r="G32" s="10"/>
    </row>
    <row r="33" customFormat="false" ht="15" hidden="false" customHeight="false" outlineLevel="0" collapsed="false">
      <c r="A33" s="10"/>
      <c r="B33" s="30" t="s">
        <v>148</v>
      </c>
      <c r="C33" s="22" t="n">
        <f aca="false">COUNTIF('Model Inventory'!$D$5:$D$54,"Other")</f>
        <v>0</v>
      </c>
      <c r="D33" s="23" t="n">
        <f aca="false">IFERROR(C33/COUNTA('Model Inventory'!$C$5:$C$54),0)</f>
        <v>0</v>
      </c>
      <c r="E33" s="10"/>
      <c r="F33" s="10"/>
      <c r="G33" s="10"/>
    </row>
    <row r="34" customFormat="false" ht="15" hidden="false" customHeight="false" outlineLevel="0" collapsed="false">
      <c r="A34" s="10"/>
      <c r="B34" s="10"/>
      <c r="C34" s="10"/>
      <c r="D34" s="10"/>
      <c r="E34" s="10"/>
      <c r="F34" s="10"/>
      <c r="G34" s="10"/>
    </row>
    <row r="35" customFormat="false" ht="21.75" hidden="false" customHeight="true" outlineLevel="0" collapsed="false">
      <c r="A35" s="10"/>
      <c r="B35" s="4" t="s">
        <v>149</v>
      </c>
      <c r="C35" s="4"/>
      <c r="D35" s="4"/>
      <c r="E35" s="10"/>
      <c r="F35" s="10"/>
      <c r="G35" s="10"/>
    </row>
    <row r="36" customFormat="false" ht="15" hidden="false" customHeight="false" outlineLevel="0" collapsed="false">
      <c r="A36" s="10"/>
      <c r="B36" s="30" t="s">
        <v>150</v>
      </c>
      <c r="C36" s="31" t="n">
        <f aca="false">SUM('Model Inventory'!$N$5:$N$54)</f>
        <v>267947600</v>
      </c>
      <c r="D36" s="10"/>
      <c r="E36" s="10"/>
      <c r="F36" s="10"/>
      <c r="G36" s="10"/>
    </row>
    <row r="37" customFormat="false" ht="15" hidden="false" customHeight="false" outlineLevel="0" collapsed="false">
      <c r="A37" s="10"/>
      <c r="B37" s="30" t="s">
        <v>151</v>
      </c>
      <c r="C37" s="31" t="n">
        <f aca="false">SUM('Model Inventory'!$O$5:$O$54)</f>
        <v>4536</v>
      </c>
      <c r="D37" s="10"/>
      <c r="E37" s="10"/>
      <c r="F37" s="10"/>
      <c r="G37" s="10"/>
    </row>
    <row r="38" customFormat="false" ht="28.35" hidden="false" customHeight="false" outlineLevel="0" collapsed="false">
      <c r="B38" s="30" t="s">
        <v>152</v>
      </c>
      <c r="C38" s="31" t="n">
        <f aca="false">IFERROR(AVERAGEIFS('Model Inventory'!$P$5:$P$54,'Model Inventory'!$I$5:$I$54,"Active",'Model Inventory'!$P$5:$P$54,"&gt;0"),0)</f>
        <v>625.25</v>
      </c>
    </row>
  </sheetData>
  <mergeCells count="6">
    <mergeCell ref="B2:G2"/>
    <mergeCell ref="B15:D15"/>
    <mergeCell ref="F15:G15"/>
    <mergeCell ref="B22:D22"/>
    <mergeCell ref="F22:G22"/>
    <mergeCell ref="B35:D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2"/>
    <col collapsed="false" customWidth="true" hidden="false" outlineLevel="0" max="3" min="3" style="1" width="26"/>
    <col collapsed="false" customWidth="true" hidden="false" outlineLevel="0" max="4" min="4" style="1" width="14"/>
    <col collapsed="false" customWidth="true" hidden="false" outlineLevel="0" max="6" min="5" style="1" width="24"/>
    <col collapsed="false" customWidth="true" hidden="false" outlineLevel="0" max="7" min="7" style="1" width="18"/>
    <col collapsed="false" customWidth="true" hidden="false" outlineLevel="0" max="8" min="8" style="1" width="36"/>
    <col collapsed="false" customWidth="true" hidden="false" outlineLevel="0" max="9" min="9" style="1" width="13"/>
    <col collapsed="false" customWidth="true" hidden="false" outlineLevel="0" max="10" min="10" style="1" width="11"/>
    <col collapsed="false" customWidth="true" hidden="false" outlineLevel="0" max="12" min="11" style="1" width="13"/>
    <col collapsed="false" customWidth="true" hidden="false" outlineLevel="0" max="13" min="13" style="1" width="34"/>
    <col collapsed="false" customWidth="true" hidden="false" outlineLevel="0" max="14" min="14" style="1" width="14"/>
    <col collapsed="false" customWidth="true" hidden="false" outlineLevel="0" max="15" min="15" style="1" width="13"/>
    <col collapsed="false" customWidth="true" hidden="false" outlineLevel="0" max="16" min="16" style="1" width="14"/>
    <col collapsed="false" customWidth="true" hidden="false" outlineLevel="0" max="17" min="17" style="1" width="24"/>
    <col collapsed="false" customWidth="true" hidden="false" outlineLevel="0" max="19" min="18" style="1" width="16"/>
    <col collapsed="false" customWidth="true" hidden="false" outlineLevel="0" max="21" min="20" style="1" width="18"/>
    <col collapsed="false" customWidth="true" hidden="false" outlineLevel="0" max="23" min="22" style="0" width="13"/>
    <col collapsed="false" customWidth="true" hidden="false" outlineLevel="0" max="25" min="24" style="0" width="11"/>
  </cols>
  <sheetData>
    <row r="1" customFormat="false" ht="15" hidden="false" customHeight="false" outlineLevel="0" collapsed="false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customFormat="false" ht="30" hidden="false" customHeight="true" outlineLevel="0" collapsed="false">
      <c r="A2" s="10"/>
      <c r="B2" s="2" t="s">
        <v>153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customFormat="false" ht="15" hidden="false" customHeight="false" outlineLevel="0" collapsed="false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customFormat="false" ht="36" hidden="false" customHeight="true" outlineLevel="0" collapsed="false">
      <c r="A4" s="10"/>
      <c r="B4" s="21" t="s">
        <v>28</v>
      </c>
      <c r="C4" s="21" t="s">
        <v>30</v>
      </c>
      <c r="D4" s="21" t="s">
        <v>32</v>
      </c>
      <c r="E4" s="21" t="s">
        <v>34</v>
      </c>
      <c r="F4" s="21" t="s">
        <v>36</v>
      </c>
      <c r="G4" s="21" t="s">
        <v>38</v>
      </c>
      <c r="H4" s="21" t="s">
        <v>40</v>
      </c>
      <c r="I4" s="21" t="s">
        <v>42</v>
      </c>
      <c r="J4" s="21" t="s">
        <v>44</v>
      </c>
      <c r="K4" s="21" t="s">
        <v>46</v>
      </c>
      <c r="L4" s="21" t="s">
        <v>154</v>
      </c>
      <c r="M4" s="21" t="s">
        <v>50</v>
      </c>
      <c r="N4" s="21" t="s">
        <v>155</v>
      </c>
      <c r="O4" s="21" t="s">
        <v>156</v>
      </c>
      <c r="P4" s="21" t="s">
        <v>157</v>
      </c>
      <c r="Q4" s="21" t="s">
        <v>158</v>
      </c>
      <c r="R4" s="21" t="s">
        <v>54</v>
      </c>
      <c r="S4" s="21" t="s">
        <v>56</v>
      </c>
      <c r="T4" s="21" t="s">
        <v>159</v>
      </c>
      <c r="U4" s="21" t="s">
        <v>160</v>
      </c>
      <c r="V4" s="21" t="s">
        <v>161</v>
      </c>
      <c r="W4" s="21" t="s">
        <v>162</v>
      </c>
      <c r="X4" s="21" t="s">
        <v>163</v>
      </c>
      <c r="Y4" s="21" t="s">
        <v>125</v>
      </c>
    </row>
    <row r="5" customFormat="false" ht="28.35" hidden="false" customHeight="false" outlineLevel="0" collapsed="false">
      <c r="A5" s="10"/>
      <c r="B5" s="32" t="s">
        <v>164</v>
      </c>
      <c r="C5" s="30" t="s">
        <v>165</v>
      </c>
      <c r="D5" s="32" t="s">
        <v>135</v>
      </c>
      <c r="E5" s="32" t="s">
        <v>166</v>
      </c>
      <c r="F5" s="32" t="s">
        <v>167</v>
      </c>
      <c r="G5" s="30" t="s">
        <v>168</v>
      </c>
      <c r="H5" s="32" t="s">
        <v>169</v>
      </c>
      <c r="I5" s="32" t="s">
        <v>110</v>
      </c>
      <c r="J5" s="22" t="s">
        <v>128</v>
      </c>
      <c r="K5" s="22" t="s">
        <v>170</v>
      </c>
      <c r="L5" s="33" t="s">
        <v>171</v>
      </c>
      <c r="M5" s="32" t="s">
        <v>172</v>
      </c>
      <c r="N5" s="34" t="n">
        <v>1850000</v>
      </c>
      <c r="O5" s="34" t="n">
        <v>240</v>
      </c>
      <c r="P5" s="34" t="n">
        <v>920</v>
      </c>
      <c r="Q5" s="32" t="s">
        <v>173</v>
      </c>
      <c r="R5" s="35" t="s">
        <v>136</v>
      </c>
      <c r="S5" s="33" t="s">
        <v>174</v>
      </c>
      <c r="T5" s="36" t="s">
        <v>175</v>
      </c>
      <c r="U5" s="32" t="s">
        <v>176</v>
      </c>
      <c r="V5" s="35" t="s">
        <v>177</v>
      </c>
      <c r="W5" s="37" t="n">
        <f aca="true">IF(OR(C5="",V5=""),"",TODAY()-V5)</f>
        <v>87</v>
      </c>
      <c r="X5" s="38" t="n">
        <f aca="true">IF(C5="","",ROUND(IF(V5="",40,MIN(40,(TODAY()-V5)/365*40))+IF(R5="Compliant",0,IF(R5="Pending Review",10,IF(R5="Non-Compliant",20,IF(R5="Exempt",5,10))))+IF(S5="Public",0,IF(S5="Internal",5,IF(S5="Confidential",10,IF(S5="Restricted",15,5))))+IF(F5="Cloud (SaaS API)",6,IF(F5="Private Cloud",5,IF(F5="Hybrid",7,IF(F5="On-Prem",8,IF(F5="Edge",10,5)))))+IF(K5="PASS",0,IF(K5="DEFERRED",10,IF(K5="NOT_RUN",12,IF(K5="FAIL",15,12)))),0))</f>
        <v>26</v>
      </c>
      <c r="Y5" s="39" t="str">
        <f aca="false">IF(X5="","",IF(X5&gt;=70,"Critical",IF(X5&gt;=50,"High",IF(X5&gt;=25,"Medium","Low"))))</f>
        <v>Medium</v>
      </c>
    </row>
    <row r="6" customFormat="false" ht="41.75" hidden="false" customHeight="false" outlineLevel="0" collapsed="false">
      <c r="A6" s="10"/>
      <c r="B6" s="32" t="s">
        <v>178</v>
      </c>
      <c r="C6" s="30" t="s">
        <v>179</v>
      </c>
      <c r="D6" s="32" t="s">
        <v>144</v>
      </c>
      <c r="E6" s="32" t="s">
        <v>180</v>
      </c>
      <c r="F6" s="32" t="s">
        <v>181</v>
      </c>
      <c r="G6" s="30" t="s">
        <v>182</v>
      </c>
      <c r="H6" s="32" t="s">
        <v>183</v>
      </c>
      <c r="I6" s="32" t="s">
        <v>110</v>
      </c>
      <c r="J6" s="22" t="s">
        <v>126</v>
      </c>
      <c r="K6" s="22" t="s">
        <v>170</v>
      </c>
      <c r="L6" s="33" t="s">
        <v>184</v>
      </c>
      <c r="M6" s="32" t="s">
        <v>185</v>
      </c>
      <c r="N6" s="34" t="n">
        <v>45000000</v>
      </c>
      <c r="O6" s="34" t="n">
        <v>18</v>
      </c>
      <c r="P6" s="34" t="n">
        <v>35</v>
      </c>
      <c r="Q6" s="32" t="s">
        <v>186</v>
      </c>
      <c r="R6" s="35" t="s">
        <v>136</v>
      </c>
      <c r="S6" s="33" t="s">
        <v>187</v>
      </c>
      <c r="T6" s="36" t="s">
        <v>188</v>
      </c>
      <c r="U6" s="32" t="s">
        <v>189</v>
      </c>
      <c r="V6" s="35" t="s">
        <v>190</v>
      </c>
      <c r="W6" s="37" t="n">
        <f aca="true">IF(OR(C6="",V6=""),"",TODAY()-V6)</f>
        <v>40</v>
      </c>
      <c r="X6" s="38" t="n">
        <f aca="true">IF(C6="","",ROUND(IF(V6="",40,MIN(40,(TODAY()-V6)/365*40))+IF(R6="Compliant",0,IF(R6="Pending Review",10,IF(R6="Non-Compliant",20,IF(R6="Exempt",5,10))))+IF(S6="Public",0,IF(S6="Internal",5,IF(S6="Confidential",10,IF(S6="Restricted",15,5))))+IF(F6="Cloud (SaaS API)",6,IF(F6="Private Cloud",5,IF(F6="Hybrid",7,IF(F6="On-Prem",8,IF(F6="Edge",10,5)))))+IF(K6="PASS",0,IF(K6="DEFERRED",10,IF(K6="NOT_RUN",12,IF(K6="FAIL",15,12)))),0))</f>
        <v>17</v>
      </c>
      <c r="Y6" s="39" t="str">
        <f aca="false">IF(X6="","",IF(X6&gt;=70,"Critical",IF(X6&gt;=50,"High",IF(X6&gt;=25,"Medium","Low"))))</f>
        <v>Low</v>
      </c>
    </row>
    <row r="7" customFormat="false" ht="28.35" hidden="false" customHeight="false" outlineLevel="0" collapsed="false">
      <c r="A7" s="10"/>
      <c r="B7" s="32" t="s">
        <v>191</v>
      </c>
      <c r="C7" s="30" t="s">
        <v>192</v>
      </c>
      <c r="D7" s="32" t="s">
        <v>137</v>
      </c>
      <c r="E7" s="32" t="s">
        <v>193</v>
      </c>
      <c r="F7" s="32" t="s">
        <v>167</v>
      </c>
      <c r="G7" s="30" t="s">
        <v>194</v>
      </c>
      <c r="H7" s="32" t="s">
        <v>195</v>
      </c>
      <c r="I7" s="32" t="s">
        <v>110</v>
      </c>
      <c r="J7" s="22" t="s">
        <v>130</v>
      </c>
      <c r="K7" s="22" t="s">
        <v>196</v>
      </c>
      <c r="L7" s="33" t="s">
        <v>197</v>
      </c>
      <c r="M7" s="32" t="s">
        <v>198</v>
      </c>
      <c r="N7" s="34" t="n">
        <v>62000</v>
      </c>
      <c r="O7" s="34" t="n">
        <v>35</v>
      </c>
      <c r="P7" s="34" t="n">
        <v>1450</v>
      </c>
      <c r="Q7" s="32" t="s">
        <v>199</v>
      </c>
      <c r="R7" s="35" t="s">
        <v>138</v>
      </c>
      <c r="S7" s="33" t="s">
        <v>174</v>
      </c>
      <c r="T7" s="36" t="s">
        <v>200</v>
      </c>
      <c r="U7" s="32" t="s">
        <v>201</v>
      </c>
      <c r="V7" s="35" t="s">
        <v>202</v>
      </c>
      <c r="W7" s="37" t="n">
        <f aca="true">IF(OR(C7="",V7=""),"",TODAY()-V7)</f>
        <v>276</v>
      </c>
      <c r="X7" s="38" t="n">
        <f aca="true">IF(C7="","",ROUND(IF(V7="",40,MIN(40,(TODAY()-V7)/365*40))+IF(R7="Compliant",0,IF(R7="Pending Review",10,IF(R7="Non-Compliant",20,IF(R7="Exempt",5,10))))+IF(S7="Public",0,IF(S7="Internal",5,IF(S7="Confidential",10,IF(S7="Restricted",15,5))))+IF(F7="Cloud (SaaS API)",6,IF(F7="Private Cloud",5,IF(F7="Hybrid",7,IF(F7="On-Prem",8,IF(F7="Edge",10,5)))))+IF(K7="PASS",0,IF(K7="DEFERRED",10,IF(K7="NOT_RUN",12,IF(K7="FAIL",15,12)))),0))</f>
        <v>66</v>
      </c>
      <c r="Y7" s="39" t="str">
        <f aca="false">IF(X7="","",IF(X7&gt;=70,"Critical",IF(X7&gt;=50,"High",IF(X7&gt;=25,"Medium","Low"))))</f>
        <v>High</v>
      </c>
    </row>
    <row r="8" customFormat="false" ht="28.35" hidden="false" customHeight="false" outlineLevel="0" collapsed="false">
      <c r="A8" s="10"/>
      <c r="B8" s="32" t="s">
        <v>203</v>
      </c>
      <c r="C8" s="30" t="s">
        <v>204</v>
      </c>
      <c r="D8" s="32" t="s">
        <v>141</v>
      </c>
      <c r="E8" s="32" t="s">
        <v>205</v>
      </c>
      <c r="F8" s="32" t="s">
        <v>206</v>
      </c>
      <c r="G8" s="30" t="s">
        <v>207</v>
      </c>
      <c r="H8" s="32" t="s">
        <v>208</v>
      </c>
      <c r="I8" s="32" t="s">
        <v>110</v>
      </c>
      <c r="J8" s="22" t="s">
        <v>128</v>
      </c>
      <c r="K8" s="22" t="s">
        <v>170</v>
      </c>
      <c r="L8" s="33" t="s">
        <v>171</v>
      </c>
      <c r="M8" s="32" t="s">
        <v>209</v>
      </c>
      <c r="N8" s="34" t="n">
        <v>920000</v>
      </c>
      <c r="O8" s="34" t="n">
        <v>4100</v>
      </c>
      <c r="P8" s="34" t="n">
        <v>780</v>
      </c>
      <c r="Q8" s="32" t="s">
        <v>210</v>
      </c>
      <c r="R8" s="35" t="s">
        <v>136</v>
      </c>
      <c r="S8" s="33" t="s">
        <v>187</v>
      </c>
      <c r="T8" s="36" t="s">
        <v>211</v>
      </c>
      <c r="U8" s="32" t="s">
        <v>212</v>
      </c>
      <c r="V8" s="35" t="s">
        <v>213</v>
      </c>
      <c r="W8" s="37" t="n">
        <f aca="true">IF(OR(C8="",V8=""),"",TODAY()-V8)</f>
        <v>112</v>
      </c>
      <c r="X8" s="38" t="n">
        <f aca="true">IF(C8="","",ROUND(IF(V8="",40,MIN(40,(TODAY()-V8)/365*40))+IF(R8="Compliant",0,IF(R8="Pending Review",10,IF(R8="Non-Compliant",20,IF(R8="Exempt",5,10))))+IF(S8="Public",0,IF(S8="Internal",5,IF(S8="Confidential",10,IF(S8="Restricted",15,5))))+IF(F8="Cloud (SaaS API)",6,IF(F8="Private Cloud",5,IF(F8="Hybrid",7,IF(F8="On-Prem",8,IF(F8="Edge",10,5)))))+IF(K8="PASS",0,IF(K8="DEFERRED",10,IF(K8="NOT_RUN",12,IF(K8="FAIL",15,12)))),0))</f>
        <v>22</v>
      </c>
      <c r="Y8" s="39" t="str">
        <f aca="false">IF(X8="","",IF(X8&gt;=70,"Critical",IF(X8&gt;=50,"High",IF(X8&gt;=25,"Medium","Low"))))</f>
        <v>Low</v>
      </c>
    </row>
    <row r="9" customFormat="false" ht="28.35" hidden="false" customHeight="false" outlineLevel="0" collapsed="false">
      <c r="A9" s="10"/>
      <c r="B9" s="32" t="s">
        <v>214</v>
      </c>
      <c r="C9" s="30" t="s">
        <v>215</v>
      </c>
      <c r="D9" s="32" t="s">
        <v>147</v>
      </c>
      <c r="E9" s="32" t="s">
        <v>216</v>
      </c>
      <c r="F9" s="32" t="s">
        <v>206</v>
      </c>
      <c r="G9" s="30" t="s">
        <v>194</v>
      </c>
      <c r="H9" s="32" t="s">
        <v>217</v>
      </c>
      <c r="I9" s="32" t="s">
        <v>110</v>
      </c>
      <c r="J9" s="22" t="s">
        <v>126</v>
      </c>
      <c r="K9" s="22" t="s">
        <v>170</v>
      </c>
      <c r="L9" s="33" t="s">
        <v>184</v>
      </c>
      <c r="M9" s="32" t="s">
        <v>218</v>
      </c>
      <c r="N9" s="34" t="n">
        <v>1200</v>
      </c>
      <c r="O9" s="34" t="n">
        <v>12</v>
      </c>
      <c r="P9" s="34" t="n">
        <v>55</v>
      </c>
      <c r="Q9" s="32" t="s">
        <v>219</v>
      </c>
      <c r="R9" s="35" t="s">
        <v>136</v>
      </c>
      <c r="S9" s="33" t="s">
        <v>220</v>
      </c>
      <c r="T9" s="36" t="s">
        <v>221</v>
      </c>
      <c r="U9" s="32" t="s">
        <v>222</v>
      </c>
      <c r="V9" s="35" t="s">
        <v>223</v>
      </c>
      <c r="W9" s="37" t="n">
        <f aca="true">IF(OR(C9="",V9=""),"",TODAY()-V9)</f>
        <v>62</v>
      </c>
      <c r="X9" s="38" t="n">
        <f aca="true">IF(C9="","",ROUND(IF(V9="",40,MIN(40,(TODAY()-V9)/365*40))+IF(R9="Compliant",0,IF(R9="Pending Review",10,IF(R9="Non-Compliant",20,IF(R9="Exempt",5,10))))+IF(S9="Public",0,IF(S9="Internal",5,IF(S9="Confidential",10,IF(S9="Restricted",15,5))))+IF(F9="Cloud (SaaS API)",6,IF(F9="Private Cloud",5,IF(F9="Hybrid",7,IF(F9="On-Prem",8,IF(F9="Edge",10,5)))))+IF(K9="PASS",0,IF(K9="DEFERRED",10,IF(K9="NOT_RUN",12,IF(K9="FAIL",15,12)))),0))</f>
        <v>27</v>
      </c>
      <c r="Y9" s="39" t="str">
        <f aca="false">IF(X9="","",IF(X9&gt;=70,"Critical",IF(X9&gt;=50,"High",IF(X9&gt;=25,"Medium","Low"))))</f>
        <v>Medium</v>
      </c>
    </row>
    <row r="10" customFormat="false" ht="28.35" hidden="false" customHeight="false" outlineLevel="0" collapsed="false">
      <c r="A10" s="10"/>
      <c r="B10" s="32" t="s">
        <v>224</v>
      </c>
      <c r="C10" s="30" t="s">
        <v>225</v>
      </c>
      <c r="D10" s="32" t="s">
        <v>139</v>
      </c>
      <c r="E10" s="32" t="s">
        <v>226</v>
      </c>
      <c r="F10" s="32" t="s">
        <v>167</v>
      </c>
      <c r="G10" s="30" t="s">
        <v>227</v>
      </c>
      <c r="H10" s="32" t="s">
        <v>228</v>
      </c>
      <c r="I10" s="32" t="s">
        <v>110</v>
      </c>
      <c r="J10" s="22" t="s">
        <v>130</v>
      </c>
      <c r="K10" s="22" t="s">
        <v>196</v>
      </c>
      <c r="L10" s="33" t="s">
        <v>197</v>
      </c>
      <c r="M10" s="32" t="s">
        <v>229</v>
      </c>
      <c r="N10" s="34" t="n">
        <v>78000</v>
      </c>
      <c r="O10" s="34" t="n">
        <v>95</v>
      </c>
      <c r="P10" s="34" t="n">
        <v>1100</v>
      </c>
      <c r="Q10" s="32" t="s">
        <v>230</v>
      </c>
      <c r="R10" s="35" t="s">
        <v>138</v>
      </c>
      <c r="S10" s="33" t="s">
        <v>187</v>
      </c>
      <c r="T10" s="36" t="s">
        <v>231</v>
      </c>
      <c r="U10" s="32" t="s">
        <v>232</v>
      </c>
      <c r="V10" s="35" t="s">
        <v>233</v>
      </c>
      <c r="W10" s="37" t="n">
        <f aca="true">IF(OR(C10="",V10=""),"",TODAY()-V10)</f>
        <v>189</v>
      </c>
      <c r="X10" s="38" t="n">
        <f aca="true">IF(C10="","",ROUND(IF(V10="",40,MIN(40,(TODAY()-V10)/365*40))+IF(R10="Compliant",0,IF(R10="Pending Review",10,IF(R10="Non-Compliant",20,IF(R10="Exempt",5,10))))+IF(S10="Public",0,IF(S10="Internal",5,IF(S10="Confidential",10,IF(S10="Restricted",15,5))))+IF(F10="Cloud (SaaS API)",6,IF(F10="Private Cloud",5,IF(F10="Hybrid",7,IF(F10="On-Prem",8,IF(F10="Edge",10,5)))))+IF(K10="PASS",0,IF(K10="DEFERRED",10,IF(K10="NOT_RUN",12,IF(K10="FAIL",15,12)))),0))</f>
        <v>52</v>
      </c>
      <c r="Y10" s="39" t="str">
        <f aca="false">IF(X10="","",IF(X10&gt;=70,"Critical",IF(X10&gt;=50,"High",IF(X10&gt;=25,"Medium","Low"))))</f>
        <v>High</v>
      </c>
    </row>
    <row r="11" customFormat="false" ht="28.35" hidden="false" customHeight="false" outlineLevel="0" collapsed="false">
      <c r="A11" s="10"/>
      <c r="B11" s="32" t="s">
        <v>234</v>
      </c>
      <c r="C11" s="30" t="s">
        <v>235</v>
      </c>
      <c r="D11" s="32" t="s">
        <v>135</v>
      </c>
      <c r="E11" s="32" t="s">
        <v>236</v>
      </c>
      <c r="F11" s="32" t="s">
        <v>167</v>
      </c>
      <c r="G11" s="30" t="s">
        <v>237</v>
      </c>
      <c r="H11" s="32" t="s">
        <v>238</v>
      </c>
      <c r="I11" s="32" t="s">
        <v>111</v>
      </c>
      <c r="J11" s="22" t="s">
        <v>132</v>
      </c>
      <c r="K11" s="22" t="s">
        <v>239</v>
      </c>
      <c r="L11" s="33" t="s">
        <v>240</v>
      </c>
      <c r="M11" s="32" t="s">
        <v>241</v>
      </c>
      <c r="N11" s="34" t="n">
        <v>5400</v>
      </c>
      <c r="O11" s="34" t="n">
        <v>8</v>
      </c>
      <c r="P11" s="34" t="n">
        <v>1300</v>
      </c>
      <c r="Q11" s="32" t="s">
        <v>242</v>
      </c>
      <c r="R11" s="35" t="s">
        <v>140</v>
      </c>
      <c r="S11" s="33" t="s">
        <v>220</v>
      </c>
      <c r="T11" s="36" t="s">
        <v>243</v>
      </c>
      <c r="U11" s="32" t="s">
        <v>244</v>
      </c>
      <c r="V11" s="35" t="s">
        <v>245</v>
      </c>
      <c r="W11" s="37" t="n">
        <f aca="true">IF(OR(C11="",V11=""),"",TODAY()-V11)</f>
        <v>597</v>
      </c>
      <c r="X11" s="38" t="n">
        <f aca="true">IF(C11="","",ROUND(IF(V11="",40,MIN(40,(TODAY()-V11)/365*40))+IF(R11="Compliant",0,IF(R11="Pending Review",10,IF(R11="Non-Compliant",20,IF(R11="Exempt",5,10))))+IF(S11="Public",0,IF(S11="Internal",5,IF(S11="Confidential",10,IF(S11="Restricted",15,5))))+IF(F11="Cloud (SaaS API)",6,IF(F11="Private Cloud",5,IF(F11="Hybrid",7,IF(F11="On-Prem",8,IF(F11="Edge",10,5)))))+IF(K11="PASS",0,IF(K11="DEFERRED",10,IF(K11="NOT_RUN",12,IF(K11="FAIL",15,12)))),0))</f>
        <v>96</v>
      </c>
      <c r="Y11" s="39" t="str">
        <f aca="false">IF(X11="","",IF(X11&gt;=70,"Critical",IF(X11&gt;=50,"High",IF(X11&gt;=25,"Medium","Low"))))</f>
        <v>Critical</v>
      </c>
    </row>
    <row r="12" customFormat="false" ht="28.35" hidden="false" customHeight="false" outlineLevel="0" collapsed="false">
      <c r="A12" s="10"/>
      <c r="B12" s="32" t="s">
        <v>246</v>
      </c>
      <c r="C12" s="30" t="s">
        <v>247</v>
      </c>
      <c r="D12" s="32" t="s">
        <v>144</v>
      </c>
      <c r="E12" s="32" t="s">
        <v>248</v>
      </c>
      <c r="F12" s="32" t="s">
        <v>249</v>
      </c>
      <c r="G12" s="30" t="s">
        <v>182</v>
      </c>
      <c r="H12" s="32" t="s">
        <v>250</v>
      </c>
      <c r="I12" s="32" t="s">
        <v>110</v>
      </c>
      <c r="J12" s="22" t="s">
        <v>126</v>
      </c>
      <c r="K12" s="22" t="s">
        <v>170</v>
      </c>
      <c r="L12" s="33" t="s">
        <v>171</v>
      </c>
      <c r="M12" s="32" t="s">
        <v>251</v>
      </c>
      <c r="N12" s="34" t="n">
        <v>220000000</v>
      </c>
      <c r="O12" s="34" t="n">
        <v>6</v>
      </c>
      <c r="P12" s="34" t="n">
        <v>22</v>
      </c>
      <c r="Q12" s="32" t="s">
        <v>252</v>
      </c>
      <c r="R12" s="35" t="s">
        <v>136</v>
      </c>
      <c r="S12" s="33" t="s">
        <v>187</v>
      </c>
      <c r="T12" s="36" t="s">
        <v>188</v>
      </c>
      <c r="U12" s="32" t="s">
        <v>189</v>
      </c>
      <c r="V12" s="35" t="s">
        <v>253</v>
      </c>
      <c r="W12" s="37" t="n">
        <f aca="true">IF(OR(C12="",V12=""),"",TODAY()-V12)</f>
        <v>44</v>
      </c>
      <c r="X12" s="38" t="n">
        <f aca="true">IF(C12="","",ROUND(IF(V12="",40,MIN(40,(TODAY()-V12)/365*40))+IF(R12="Compliant",0,IF(R12="Pending Review",10,IF(R12="Non-Compliant",20,IF(R12="Exempt",5,10))))+IF(S12="Public",0,IF(S12="Internal",5,IF(S12="Confidential",10,IF(S12="Restricted",15,5))))+IF(F12="Cloud (SaaS API)",6,IF(F12="Private Cloud",5,IF(F12="Hybrid",7,IF(F12="On-Prem",8,IF(F12="Edge",10,5)))))+IF(K12="PASS",0,IF(K12="DEFERRED",10,IF(K12="NOT_RUN",12,IF(K12="FAIL",15,12)))),0))</f>
        <v>20</v>
      </c>
      <c r="Y12" s="39" t="str">
        <f aca="false">IF(X12="","",IF(X12&gt;=70,"Critical",IF(X12&gt;=50,"High",IF(X12&gt;=25,"Medium","Low"))))</f>
        <v>Low</v>
      </c>
    </row>
    <row r="13" customFormat="false" ht="28.35" hidden="false" customHeight="false" outlineLevel="0" collapsed="false">
      <c r="A13" s="10"/>
      <c r="B13" s="32" t="s">
        <v>254</v>
      </c>
      <c r="C13" s="30" t="s">
        <v>255</v>
      </c>
      <c r="D13" s="32" t="s">
        <v>143</v>
      </c>
      <c r="E13" s="32" t="s">
        <v>256</v>
      </c>
      <c r="F13" s="32" t="s">
        <v>167</v>
      </c>
      <c r="G13" s="30" t="s">
        <v>257</v>
      </c>
      <c r="H13" s="32" t="s">
        <v>258</v>
      </c>
      <c r="I13" s="32" t="s">
        <v>259</v>
      </c>
      <c r="J13" s="22" t="s">
        <v>130</v>
      </c>
      <c r="K13" s="22" t="s">
        <v>260</v>
      </c>
      <c r="L13" s="33" t="s">
        <v>240</v>
      </c>
      <c r="M13" s="32"/>
      <c r="N13" s="34" t="n">
        <v>0</v>
      </c>
      <c r="O13" s="34" t="n">
        <v>0</v>
      </c>
      <c r="P13" s="34" t="n">
        <v>0</v>
      </c>
      <c r="Q13" s="32" t="s">
        <v>261</v>
      </c>
      <c r="R13" s="35" t="s">
        <v>138</v>
      </c>
      <c r="S13" s="33" t="s">
        <v>174</v>
      </c>
      <c r="T13" s="36" t="s">
        <v>262</v>
      </c>
      <c r="U13" s="32" t="s">
        <v>263</v>
      </c>
      <c r="V13" s="35" t="s">
        <v>264</v>
      </c>
      <c r="W13" s="37" t="n">
        <f aca="true">IF(OR(C13="",V13=""),"",TODAY()-V13)</f>
        <v>20</v>
      </c>
      <c r="X13" s="38" t="n">
        <f aca="true">IF(C13="","",ROUND(IF(V13="",40,MIN(40,(TODAY()-V13)/365*40))+IF(R13="Compliant",0,IF(R13="Pending Review",10,IF(R13="Non-Compliant",20,IF(R13="Exempt",5,10))))+IF(S13="Public",0,IF(S13="Internal",5,IF(S13="Confidential",10,IF(S13="Restricted",15,5))))+IF(F13="Cloud (SaaS API)",6,IF(F13="Private Cloud",5,IF(F13="Hybrid",7,IF(F13="On-Prem",8,IF(F13="Edge",10,5)))))+IF(K13="PASS",0,IF(K13="DEFERRED",10,IF(K13="NOT_RUN",12,IF(K13="FAIL",15,12)))),0))</f>
        <v>40</v>
      </c>
      <c r="Y13" s="39" t="str">
        <f aca="false">IF(X13="","",IF(X13&gt;=70,"Critical",IF(X13&gt;=50,"High",IF(X13&gt;=25,"Medium","Low"))))</f>
        <v>Medium</v>
      </c>
    </row>
    <row r="14" customFormat="false" ht="41.75" hidden="false" customHeight="false" outlineLevel="0" collapsed="false">
      <c r="A14" s="10"/>
      <c r="B14" s="32" t="s">
        <v>265</v>
      </c>
      <c r="C14" s="30" t="s">
        <v>266</v>
      </c>
      <c r="D14" s="32" t="s">
        <v>146</v>
      </c>
      <c r="E14" s="32" t="s">
        <v>267</v>
      </c>
      <c r="F14" s="32" t="s">
        <v>268</v>
      </c>
      <c r="G14" s="30" t="s">
        <v>269</v>
      </c>
      <c r="H14" s="32" t="s">
        <v>270</v>
      </c>
      <c r="I14" s="32" t="s">
        <v>110</v>
      </c>
      <c r="J14" s="22" t="s">
        <v>128</v>
      </c>
      <c r="K14" s="22" t="s">
        <v>170</v>
      </c>
      <c r="L14" s="33" t="s">
        <v>184</v>
      </c>
      <c r="M14" s="32" t="s">
        <v>271</v>
      </c>
      <c r="N14" s="34" t="n">
        <v>31000</v>
      </c>
      <c r="O14" s="34" t="n">
        <v>22</v>
      </c>
      <c r="P14" s="34" t="n">
        <v>640</v>
      </c>
      <c r="Q14" s="32" t="s">
        <v>272</v>
      </c>
      <c r="R14" s="35" t="s">
        <v>136</v>
      </c>
      <c r="S14" s="33" t="s">
        <v>187</v>
      </c>
      <c r="T14" s="36" t="s">
        <v>273</v>
      </c>
      <c r="U14" s="32" t="s">
        <v>274</v>
      </c>
      <c r="V14" s="35" t="s">
        <v>275</v>
      </c>
      <c r="W14" s="37" t="n">
        <f aca="true">IF(OR(C14="",V14=""),"",TODAY()-V14)</f>
        <v>72</v>
      </c>
      <c r="X14" s="38" t="n">
        <f aca="true">IF(C14="","",ROUND(IF(V14="",40,MIN(40,(TODAY()-V14)/365*40))+IF(R14="Compliant",0,IF(R14="Pending Review",10,IF(R14="Non-Compliant",20,IF(R14="Exempt",5,10))))+IF(S14="Public",0,IF(S14="Internal",5,IF(S14="Confidential",10,IF(S14="Restricted",15,5))))+IF(F14="Cloud (SaaS API)",6,IF(F14="Private Cloud",5,IF(F14="Hybrid",7,IF(F14="On-Prem",8,IF(F14="Edge",10,5)))))+IF(K14="PASS",0,IF(K14="DEFERRED",10,IF(K14="NOT_RUN",12,IF(K14="FAIL",15,12)))),0))</f>
        <v>20</v>
      </c>
      <c r="Y14" s="39" t="str">
        <f aca="false">IF(X14="","",IF(X14&gt;=70,"Critical",IF(X14&gt;=50,"High",IF(X14&gt;=25,"Medium","Low"))))</f>
        <v>Low</v>
      </c>
    </row>
    <row r="15" customFormat="false" ht="15" hidden="false" customHeight="false" outlineLevel="0" collapsed="false">
      <c r="A15" s="10"/>
      <c r="B15" s="40"/>
      <c r="C15" s="40"/>
      <c r="D15" s="40"/>
      <c r="E15" s="40"/>
      <c r="F15" s="40"/>
      <c r="G15" s="40"/>
      <c r="H15" s="40"/>
      <c r="I15" s="40"/>
      <c r="J15" s="41"/>
      <c r="K15" s="41"/>
      <c r="L15" s="41"/>
      <c r="M15" s="40"/>
      <c r="N15" s="42"/>
      <c r="O15" s="42"/>
      <c r="P15" s="42"/>
      <c r="Q15" s="40"/>
      <c r="R15" s="43"/>
      <c r="S15" s="41"/>
      <c r="T15" s="44"/>
      <c r="U15" s="40"/>
      <c r="V15" s="45"/>
      <c r="W15" s="37" t="str">
        <f aca="true">IF(OR(C15="",V15=""),"",TODAY()-V15)</f>
        <v/>
      </c>
      <c r="X15" s="38" t="str">
        <f aca="true">IF(C15="","",ROUND(IF(V15="",40,MIN(40,(TODAY()-V15)/365*40))+IF(R15="Compliant",0,IF(R15="Pending Review",10,IF(R15="Non-Compliant",20,IF(R15="Exempt",5,10))))+IF(S15="Public",0,IF(S15="Internal",5,IF(S15="Confidential",10,IF(S15="Restricted",15,5))))+IF(F15="Cloud (SaaS API)",6,IF(F15="Private Cloud",5,IF(F15="Hybrid",7,IF(F15="On-Prem",8,IF(F15="Edge",10,5)))))+IF(K15="PASS",0,IF(K15="DEFERRED",10,IF(K15="NOT_RUN",12,IF(K15="FAIL",15,12)))),0))</f>
        <v/>
      </c>
      <c r="Y15" s="39" t="str">
        <f aca="false">IF(X15="","",IF(X15&gt;=70,"Critical",IF(X15&gt;=50,"High",IF(X15&gt;=25,"Medium","Low"))))</f>
        <v/>
      </c>
    </row>
    <row r="16" customFormat="false" ht="15" hidden="false" customHeight="false" outlineLevel="0" collapsed="false">
      <c r="A16" s="10"/>
      <c r="B16" s="40"/>
      <c r="C16" s="40"/>
      <c r="D16" s="40"/>
      <c r="E16" s="40"/>
      <c r="F16" s="40"/>
      <c r="G16" s="40"/>
      <c r="H16" s="40"/>
      <c r="I16" s="40"/>
      <c r="J16" s="41"/>
      <c r="K16" s="41"/>
      <c r="L16" s="41"/>
      <c r="M16" s="40"/>
      <c r="N16" s="42"/>
      <c r="O16" s="42"/>
      <c r="P16" s="42"/>
      <c r="Q16" s="40"/>
      <c r="R16" s="43"/>
      <c r="S16" s="41"/>
      <c r="T16" s="44"/>
      <c r="U16" s="40"/>
      <c r="V16" s="45"/>
      <c r="W16" s="37" t="str">
        <f aca="true">IF(OR(C16="",V16=""),"",TODAY()-V16)</f>
        <v/>
      </c>
      <c r="X16" s="38" t="str">
        <f aca="true">IF(C16="","",ROUND(IF(V16="",40,MIN(40,(TODAY()-V16)/365*40))+IF(R16="Compliant",0,IF(R16="Pending Review",10,IF(R16="Non-Compliant",20,IF(R16="Exempt",5,10))))+IF(S16="Public",0,IF(S16="Internal",5,IF(S16="Confidential",10,IF(S16="Restricted",15,5))))+IF(F16="Cloud (SaaS API)",6,IF(F16="Private Cloud",5,IF(F16="Hybrid",7,IF(F16="On-Prem",8,IF(F16="Edge",10,5)))))+IF(K16="PASS",0,IF(K16="DEFERRED",10,IF(K16="NOT_RUN",12,IF(K16="FAIL",15,12)))),0))</f>
        <v/>
      </c>
      <c r="Y16" s="39" t="str">
        <f aca="false">IF(X16="","",IF(X16&gt;=70,"Critical",IF(X16&gt;=50,"High",IF(X16&gt;=25,"Medium","Low"))))</f>
        <v/>
      </c>
    </row>
    <row r="17" customFormat="false" ht="15" hidden="false" customHeight="false" outlineLevel="0" collapsed="false">
      <c r="A17" s="10"/>
      <c r="B17" s="40"/>
      <c r="C17" s="40"/>
      <c r="D17" s="40"/>
      <c r="E17" s="40"/>
      <c r="F17" s="40"/>
      <c r="G17" s="40"/>
      <c r="H17" s="40"/>
      <c r="I17" s="40"/>
      <c r="J17" s="41"/>
      <c r="K17" s="41"/>
      <c r="L17" s="41"/>
      <c r="M17" s="40"/>
      <c r="N17" s="42"/>
      <c r="O17" s="42"/>
      <c r="P17" s="42"/>
      <c r="Q17" s="40"/>
      <c r="R17" s="43"/>
      <c r="S17" s="41"/>
      <c r="T17" s="44"/>
      <c r="U17" s="40"/>
      <c r="V17" s="45"/>
      <c r="W17" s="37" t="str">
        <f aca="true">IF(OR(C17="",V17=""),"",TODAY()-V17)</f>
        <v/>
      </c>
      <c r="X17" s="38" t="str">
        <f aca="true">IF(C17="","",ROUND(IF(V17="",40,MIN(40,(TODAY()-V17)/365*40))+IF(R17="Compliant",0,IF(R17="Pending Review",10,IF(R17="Non-Compliant",20,IF(R17="Exempt",5,10))))+IF(S17="Public",0,IF(S17="Internal",5,IF(S17="Confidential",10,IF(S17="Restricted",15,5))))+IF(F17="Cloud (SaaS API)",6,IF(F17="Private Cloud",5,IF(F17="Hybrid",7,IF(F17="On-Prem",8,IF(F17="Edge",10,5)))))+IF(K17="PASS",0,IF(K17="DEFERRED",10,IF(K17="NOT_RUN",12,IF(K17="FAIL",15,12)))),0))</f>
        <v/>
      </c>
      <c r="Y17" s="39" t="str">
        <f aca="false">IF(X17="","",IF(X17&gt;=70,"Critical",IF(X17&gt;=50,"High",IF(X17&gt;=25,"Medium","Low"))))</f>
        <v/>
      </c>
    </row>
    <row r="18" customFormat="false" ht="15" hidden="false" customHeight="false" outlineLevel="0" collapsed="false">
      <c r="A18" s="10"/>
      <c r="B18" s="40"/>
      <c r="C18" s="40"/>
      <c r="D18" s="40"/>
      <c r="E18" s="40"/>
      <c r="F18" s="40"/>
      <c r="G18" s="40"/>
      <c r="H18" s="40"/>
      <c r="I18" s="40"/>
      <c r="J18" s="41"/>
      <c r="K18" s="41"/>
      <c r="L18" s="41"/>
      <c r="M18" s="40"/>
      <c r="N18" s="42"/>
      <c r="O18" s="42"/>
      <c r="P18" s="42"/>
      <c r="Q18" s="40"/>
      <c r="R18" s="43"/>
      <c r="S18" s="41"/>
      <c r="T18" s="44"/>
      <c r="U18" s="40"/>
      <c r="V18" s="45"/>
      <c r="W18" s="37" t="str">
        <f aca="true">IF(OR(C18="",V18=""),"",TODAY()-V18)</f>
        <v/>
      </c>
      <c r="X18" s="38" t="str">
        <f aca="true">IF(C18="","",ROUND(IF(V18="",40,MIN(40,(TODAY()-V18)/365*40))+IF(R18="Compliant",0,IF(R18="Pending Review",10,IF(R18="Non-Compliant",20,IF(R18="Exempt",5,10))))+IF(S18="Public",0,IF(S18="Internal",5,IF(S18="Confidential",10,IF(S18="Restricted",15,5))))+IF(F18="Cloud (SaaS API)",6,IF(F18="Private Cloud",5,IF(F18="Hybrid",7,IF(F18="On-Prem",8,IF(F18="Edge",10,5)))))+IF(K18="PASS",0,IF(K18="DEFERRED",10,IF(K18="NOT_RUN",12,IF(K18="FAIL",15,12)))),0))</f>
        <v/>
      </c>
      <c r="Y18" s="39" t="str">
        <f aca="false">IF(X18="","",IF(X18&gt;=70,"Critical",IF(X18&gt;=50,"High",IF(X18&gt;=25,"Medium","Low"))))</f>
        <v/>
      </c>
    </row>
    <row r="19" customFormat="false" ht="15" hidden="false" customHeight="false" outlineLevel="0" collapsed="false">
      <c r="A19" s="10"/>
      <c r="B19" s="40"/>
      <c r="C19" s="40"/>
      <c r="D19" s="40"/>
      <c r="E19" s="40"/>
      <c r="F19" s="40"/>
      <c r="G19" s="40"/>
      <c r="H19" s="40"/>
      <c r="I19" s="40"/>
      <c r="J19" s="41"/>
      <c r="K19" s="41"/>
      <c r="L19" s="41"/>
      <c r="M19" s="40"/>
      <c r="N19" s="42"/>
      <c r="O19" s="42"/>
      <c r="P19" s="42"/>
      <c r="Q19" s="40"/>
      <c r="R19" s="43"/>
      <c r="S19" s="41"/>
      <c r="T19" s="44"/>
      <c r="U19" s="40"/>
      <c r="V19" s="45"/>
      <c r="W19" s="37" t="str">
        <f aca="true">IF(OR(C19="",V19=""),"",TODAY()-V19)</f>
        <v/>
      </c>
      <c r="X19" s="38" t="str">
        <f aca="true">IF(C19="","",ROUND(IF(V19="",40,MIN(40,(TODAY()-V19)/365*40))+IF(R19="Compliant",0,IF(R19="Pending Review",10,IF(R19="Non-Compliant",20,IF(R19="Exempt",5,10))))+IF(S19="Public",0,IF(S19="Internal",5,IF(S19="Confidential",10,IF(S19="Restricted",15,5))))+IF(F19="Cloud (SaaS API)",6,IF(F19="Private Cloud",5,IF(F19="Hybrid",7,IF(F19="On-Prem",8,IF(F19="Edge",10,5)))))+IF(K19="PASS",0,IF(K19="DEFERRED",10,IF(K19="NOT_RUN",12,IF(K19="FAIL",15,12)))),0))</f>
        <v/>
      </c>
      <c r="Y19" s="39" t="str">
        <f aca="false">IF(X19="","",IF(X19&gt;=70,"Critical",IF(X19&gt;=50,"High",IF(X19&gt;=25,"Medium","Low"))))</f>
        <v/>
      </c>
    </row>
    <row r="20" customFormat="false" ht="15" hidden="false" customHeight="false" outlineLevel="0" collapsed="false">
      <c r="A20" s="10"/>
      <c r="B20" s="40"/>
      <c r="C20" s="40"/>
      <c r="D20" s="40"/>
      <c r="E20" s="40"/>
      <c r="F20" s="40"/>
      <c r="G20" s="40"/>
      <c r="H20" s="40"/>
      <c r="I20" s="40"/>
      <c r="J20" s="41"/>
      <c r="K20" s="41"/>
      <c r="L20" s="41"/>
      <c r="M20" s="40"/>
      <c r="N20" s="42"/>
      <c r="O20" s="42"/>
      <c r="P20" s="42"/>
      <c r="Q20" s="40"/>
      <c r="R20" s="43"/>
      <c r="S20" s="41"/>
      <c r="T20" s="44"/>
      <c r="U20" s="40"/>
      <c r="V20" s="45"/>
      <c r="W20" s="37" t="str">
        <f aca="true">IF(OR(C20="",V20=""),"",TODAY()-V20)</f>
        <v/>
      </c>
      <c r="X20" s="38" t="str">
        <f aca="true">IF(C20="","",ROUND(IF(V20="",40,MIN(40,(TODAY()-V20)/365*40))+IF(R20="Compliant",0,IF(R20="Pending Review",10,IF(R20="Non-Compliant",20,IF(R20="Exempt",5,10))))+IF(S20="Public",0,IF(S20="Internal",5,IF(S20="Confidential",10,IF(S20="Restricted",15,5))))+IF(F20="Cloud (SaaS API)",6,IF(F20="Private Cloud",5,IF(F20="Hybrid",7,IF(F20="On-Prem",8,IF(F20="Edge",10,5)))))+IF(K20="PASS",0,IF(K20="DEFERRED",10,IF(K20="NOT_RUN",12,IF(K20="FAIL",15,12)))),0))</f>
        <v/>
      </c>
      <c r="Y20" s="39" t="str">
        <f aca="false">IF(X20="","",IF(X20&gt;=70,"Critical",IF(X20&gt;=50,"High",IF(X20&gt;=25,"Medium","Low"))))</f>
        <v/>
      </c>
    </row>
    <row r="21" customFormat="false" ht="15" hidden="false" customHeight="false" outlineLevel="0" collapsed="false">
      <c r="A21" s="10"/>
      <c r="B21" s="40"/>
      <c r="C21" s="40"/>
      <c r="D21" s="40"/>
      <c r="E21" s="40"/>
      <c r="F21" s="40"/>
      <c r="G21" s="40"/>
      <c r="H21" s="40"/>
      <c r="I21" s="40"/>
      <c r="J21" s="41"/>
      <c r="K21" s="41"/>
      <c r="L21" s="41"/>
      <c r="M21" s="40"/>
      <c r="N21" s="42"/>
      <c r="O21" s="42"/>
      <c r="P21" s="42"/>
      <c r="Q21" s="40"/>
      <c r="R21" s="43"/>
      <c r="S21" s="41"/>
      <c r="T21" s="44"/>
      <c r="U21" s="40"/>
      <c r="V21" s="45"/>
      <c r="W21" s="37" t="str">
        <f aca="true">IF(OR(C21="",V21=""),"",TODAY()-V21)</f>
        <v/>
      </c>
      <c r="X21" s="38" t="str">
        <f aca="true">IF(C21="","",ROUND(IF(V21="",40,MIN(40,(TODAY()-V21)/365*40))+IF(R21="Compliant",0,IF(R21="Pending Review",10,IF(R21="Non-Compliant",20,IF(R21="Exempt",5,10))))+IF(S21="Public",0,IF(S21="Internal",5,IF(S21="Confidential",10,IF(S21="Restricted",15,5))))+IF(F21="Cloud (SaaS API)",6,IF(F21="Private Cloud",5,IF(F21="Hybrid",7,IF(F21="On-Prem",8,IF(F21="Edge",10,5)))))+IF(K21="PASS",0,IF(K21="DEFERRED",10,IF(K21="NOT_RUN",12,IF(K21="FAIL",15,12)))),0))</f>
        <v/>
      </c>
      <c r="Y21" s="39" t="str">
        <f aca="false">IF(X21="","",IF(X21&gt;=70,"Critical",IF(X21&gt;=50,"High",IF(X21&gt;=25,"Medium","Low"))))</f>
        <v/>
      </c>
    </row>
    <row r="22" customFormat="false" ht="15" hidden="false" customHeight="false" outlineLevel="0" collapsed="false">
      <c r="A22" s="10"/>
      <c r="B22" s="40"/>
      <c r="C22" s="40"/>
      <c r="D22" s="40"/>
      <c r="E22" s="40"/>
      <c r="F22" s="40"/>
      <c r="G22" s="40"/>
      <c r="H22" s="40"/>
      <c r="I22" s="40"/>
      <c r="J22" s="41"/>
      <c r="K22" s="41"/>
      <c r="L22" s="41"/>
      <c r="M22" s="40"/>
      <c r="N22" s="42"/>
      <c r="O22" s="42"/>
      <c r="P22" s="42"/>
      <c r="Q22" s="40"/>
      <c r="R22" s="43"/>
      <c r="S22" s="41"/>
      <c r="T22" s="44"/>
      <c r="U22" s="40"/>
      <c r="V22" s="45"/>
      <c r="W22" s="37" t="str">
        <f aca="true">IF(OR(C22="",V22=""),"",TODAY()-V22)</f>
        <v/>
      </c>
      <c r="X22" s="38" t="str">
        <f aca="true">IF(C22="","",ROUND(IF(V22="",40,MIN(40,(TODAY()-V22)/365*40))+IF(R22="Compliant",0,IF(R22="Pending Review",10,IF(R22="Non-Compliant",20,IF(R22="Exempt",5,10))))+IF(S22="Public",0,IF(S22="Internal",5,IF(S22="Confidential",10,IF(S22="Restricted",15,5))))+IF(F22="Cloud (SaaS API)",6,IF(F22="Private Cloud",5,IF(F22="Hybrid",7,IF(F22="On-Prem",8,IF(F22="Edge",10,5)))))+IF(K22="PASS",0,IF(K22="DEFERRED",10,IF(K22="NOT_RUN",12,IF(K22="FAIL",15,12)))),0))</f>
        <v/>
      </c>
      <c r="Y22" s="39" t="str">
        <f aca="false">IF(X22="","",IF(X22&gt;=70,"Critical",IF(X22&gt;=50,"High",IF(X22&gt;=25,"Medium","Low"))))</f>
        <v/>
      </c>
    </row>
    <row r="23" customFormat="false" ht="15" hidden="false" customHeight="false" outlineLevel="0" collapsed="false">
      <c r="A23" s="10"/>
      <c r="B23" s="40"/>
      <c r="C23" s="40"/>
      <c r="D23" s="40"/>
      <c r="E23" s="40"/>
      <c r="F23" s="40"/>
      <c r="G23" s="40"/>
      <c r="H23" s="40"/>
      <c r="I23" s="40"/>
      <c r="J23" s="41"/>
      <c r="K23" s="41"/>
      <c r="L23" s="41"/>
      <c r="M23" s="40"/>
      <c r="N23" s="42"/>
      <c r="O23" s="42"/>
      <c r="P23" s="42"/>
      <c r="Q23" s="40"/>
      <c r="R23" s="43"/>
      <c r="S23" s="41"/>
      <c r="T23" s="44"/>
      <c r="U23" s="40"/>
      <c r="V23" s="45"/>
      <c r="W23" s="37" t="str">
        <f aca="true">IF(OR(C23="",V23=""),"",TODAY()-V23)</f>
        <v/>
      </c>
      <c r="X23" s="38" t="str">
        <f aca="true">IF(C23="","",ROUND(IF(V23="",40,MIN(40,(TODAY()-V23)/365*40))+IF(R23="Compliant",0,IF(R23="Pending Review",10,IF(R23="Non-Compliant",20,IF(R23="Exempt",5,10))))+IF(S23="Public",0,IF(S23="Internal",5,IF(S23="Confidential",10,IF(S23="Restricted",15,5))))+IF(F23="Cloud (SaaS API)",6,IF(F23="Private Cloud",5,IF(F23="Hybrid",7,IF(F23="On-Prem",8,IF(F23="Edge",10,5)))))+IF(K23="PASS",0,IF(K23="DEFERRED",10,IF(K23="NOT_RUN",12,IF(K23="FAIL",15,12)))),0))</f>
        <v/>
      </c>
      <c r="Y23" s="39" t="str">
        <f aca="false">IF(X23="","",IF(X23&gt;=70,"Critical",IF(X23&gt;=50,"High",IF(X23&gt;=25,"Medium","Low"))))</f>
        <v/>
      </c>
    </row>
    <row r="24" customFormat="false" ht="15" hidden="false" customHeight="false" outlineLevel="0" collapsed="false">
      <c r="A24" s="10"/>
      <c r="B24" s="40"/>
      <c r="C24" s="40"/>
      <c r="D24" s="40"/>
      <c r="E24" s="40"/>
      <c r="F24" s="40"/>
      <c r="G24" s="40"/>
      <c r="H24" s="40"/>
      <c r="I24" s="40"/>
      <c r="J24" s="41"/>
      <c r="K24" s="41"/>
      <c r="L24" s="41"/>
      <c r="M24" s="40"/>
      <c r="N24" s="42"/>
      <c r="O24" s="42"/>
      <c r="P24" s="42"/>
      <c r="Q24" s="40"/>
      <c r="R24" s="43"/>
      <c r="S24" s="41"/>
      <c r="T24" s="44"/>
      <c r="U24" s="40"/>
      <c r="V24" s="45"/>
      <c r="W24" s="37" t="str">
        <f aca="true">IF(OR(C24="",V24=""),"",TODAY()-V24)</f>
        <v/>
      </c>
      <c r="X24" s="38" t="str">
        <f aca="true">IF(C24="","",ROUND(IF(V24="",40,MIN(40,(TODAY()-V24)/365*40))+IF(R24="Compliant",0,IF(R24="Pending Review",10,IF(R24="Non-Compliant",20,IF(R24="Exempt",5,10))))+IF(S24="Public",0,IF(S24="Internal",5,IF(S24="Confidential",10,IF(S24="Restricted",15,5))))+IF(F24="Cloud (SaaS API)",6,IF(F24="Private Cloud",5,IF(F24="Hybrid",7,IF(F24="On-Prem",8,IF(F24="Edge",10,5)))))+IF(K24="PASS",0,IF(K24="DEFERRED",10,IF(K24="NOT_RUN",12,IF(K24="FAIL",15,12)))),0))</f>
        <v/>
      </c>
      <c r="Y24" s="39" t="str">
        <f aca="false">IF(X24="","",IF(X24&gt;=70,"Critical",IF(X24&gt;=50,"High",IF(X24&gt;=25,"Medium","Low"))))</f>
        <v/>
      </c>
    </row>
    <row r="25" customFormat="false" ht="15" hidden="false" customHeight="false" outlineLevel="0" collapsed="false">
      <c r="A25" s="10"/>
      <c r="B25" s="40"/>
      <c r="C25" s="40"/>
      <c r="D25" s="40"/>
      <c r="E25" s="40"/>
      <c r="F25" s="40"/>
      <c r="G25" s="40"/>
      <c r="H25" s="40"/>
      <c r="I25" s="40"/>
      <c r="J25" s="41"/>
      <c r="K25" s="41"/>
      <c r="L25" s="41"/>
      <c r="M25" s="40"/>
      <c r="N25" s="42"/>
      <c r="O25" s="42"/>
      <c r="P25" s="42"/>
      <c r="Q25" s="40"/>
      <c r="R25" s="43"/>
      <c r="S25" s="41"/>
      <c r="T25" s="44"/>
      <c r="U25" s="40"/>
      <c r="V25" s="45"/>
      <c r="W25" s="37" t="str">
        <f aca="true">IF(OR(C25="",V25=""),"",TODAY()-V25)</f>
        <v/>
      </c>
      <c r="X25" s="38" t="str">
        <f aca="true">IF(C25="","",ROUND(IF(V25="",40,MIN(40,(TODAY()-V25)/365*40))+IF(R25="Compliant",0,IF(R25="Pending Review",10,IF(R25="Non-Compliant",20,IF(R25="Exempt",5,10))))+IF(S25="Public",0,IF(S25="Internal",5,IF(S25="Confidential",10,IF(S25="Restricted",15,5))))+IF(F25="Cloud (SaaS API)",6,IF(F25="Private Cloud",5,IF(F25="Hybrid",7,IF(F25="On-Prem",8,IF(F25="Edge",10,5)))))+IF(K25="PASS",0,IF(K25="DEFERRED",10,IF(K25="NOT_RUN",12,IF(K25="FAIL",15,12)))),0))</f>
        <v/>
      </c>
      <c r="Y25" s="39" t="str">
        <f aca="false">IF(X25="","",IF(X25&gt;=70,"Critical",IF(X25&gt;=50,"High",IF(X25&gt;=25,"Medium","Low"))))</f>
        <v/>
      </c>
    </row>
    <row r="26" customFormat="false" ht="15" hidden="false" customHeight="false" outlineLevel="0" collapsed="false">
      <c r="A26" s="10"/>
      <c r="B26" s="40"/>
      <c r="C26" s="40"/>
      <c r="D26" s="40"/>
      <c r="E26" s="40"/>
      <c r="F26" s="40"/>
      <c r="G26" s="40"/>
      <c r="H26" s="40"/>
      <c r="I26" s="40"/>
      <c r="J26" s="41"/>
      <c r="K26" s="41"/>
      <c r="L26" s="41"/>
      <c r="M26" s="40"/>
      <c r="N26" s="42"/>
      <c r="O26" s="42"/>
      <c r="P26" s="42"/>
      <c r="Q26" s="40"/>
      <c r="R26" s="43"/>
      <c r="S26" s="41"/>
      <c r="T26" s="44"/>
      <c r="U26" s="40"/>
      <c r="V26" s="45"/>
      <c r="W26" s="37" t="str">
        <f aca="true">IF(OR(C26="",V26=""),"",TODAY()-V26)</f>
        <v/>
      </c>
      <c r="X26" s="38" t="str">
        <f aca="true">IF(C26="","",ROUND(IF(V26="",40,MIN(40,(TODAY()-V26)/365*40))+IF(R26="Compliant",0,IF(R26="Pending Review",10,IF(R26="Non-Compliant",20,IF(R26="Exempt",5,10))))+IF(S26="Public",0,IF(S26="Internal",5,IF(S26="Confidential",10,IF(S26="Restricted",15,5))))+IF(F26="Cloud (SaaS API)",6,IF(F26="Private Cloud",5,IF(F26="Hybrid",7,IF(F26="On-Prem",8,IF(F26="Edge",10,5)))))+IF(K26="PASS",0,IF(K26="DEFERRED",10,IF(K26="NOT_RUN",12,IF(K26="FAIL",15,12)))),0))</f>
        <v/>
      </c>
      <c r="Y26" s="39" t="str">
        <f aca="false">IF(X26="","",IF(X26&gt;=70,"Critical",IF(X26&gt;=50,"High",IF(X26&gt;=25,"Medium","Low"))))</f>
        <v/>
      </c>
    </row>
    <row r="27" customFormat="false" ht="15" hidden="false" customHeight="false" outlineLevel="0" collapsed="false">
      <c r="A27" s="10"/>
      <c r="B27" s="40"/>
      <c r="C27" s="40"/>
      <c r="D27" s="40"/>
      <c r="E27" s="40"/>
      <c r="F27" s="40"/>
      <c r="G27" s="40"/>
      <c r="H27" s="40"/>
      <c r="I27" s="40"/>
      <c r="J27" s="41"/>
      <c r="K27" s="41"/>
      <c r="L27" s="41"/>
      <c r="M27" s="40"/>
      <c r="N27" s="42"/>
      <c r="O27" s="42"/>
      <c r="P27" s="42"/>
      <c r="Q27" s="40"/>
      <c r="R27" s="43"/>
      <c r="S27" s="41"/>
      <c r="T27" s="44"/>
      <c r="U27" s="40"/>
      <c r="V27" s="45"/>
      <c r="W27" s="37" t="str">
        <f aca="true">IF(OR(C27="",V27=""),"",TODAY()-V27)</f>
        <v/>
      </c>
      <c r="X27" s="38" t="str">
        <f aca="true">IF(C27="","",ROUND(IF(V27="",40,MIN(40,(TODAY()-V27)/365*40))+IF(R27="Compliant",0,IF(R27="Pending Review",10,IF(R27="Non-Compliant",20,IF(R27="Exempt",5,10))))+IF(S27="Public",0,IF(S27="Internal",5,IF(S27="Confidential",10,IF(S27="Restricted",15,5))))+IF(F27="Cloud (SaaS API)",6,IF(F27="Private Cloud",5,IF(F27="Hybrid",7,IF(F27="On-Prem",8,IF(F27="Edge",10,5)))))+IF(K27="PASS",0,IF(K27="DEFERRED",10,IF(K27="NOT_RUN",12,IF(K27="FAIL",15,12)))),0))</f>
        <v/>
      </c>
      <c r="Y27" s="39" t="str">
        <f aca="false">IF(X27="","",IF(X27&gt;=70,"Critical",IF(X27&gt;=50,"High",IF(X27&gt;=25,"Medium","Low"))))</f>
        <v/>
      </c>
    </row>
    <row r="28" customFormat="false" ht="15" hidden="false" customHeight="false" outlineLevel="0" collapsed="false">
      <c r="A28" s="10"/>
      <c r="B28" s="40"/>
      <c r="C28" s="40"/>
      <c r="D28" s="40"/>
      <c r="E28" s="40"/>
      <c r="F28" s="40"/>
      <c r="G28" s="40"/>
      <c r="H28" s="40"/>
      <c r="I28" s="40"/>
      <c r="J28" s="41"/>
      <c r="K28" s="41"/>
      <c r="L28" s="41"/>
      <c r="M28" s="40"/>
      <c r="N28" s="42"/>
      <c r="O28" s="42"/>
      <c r="P28" s="42"/>
      <c r="Q28" s="40"/>
      <c r="R28" s="43"/>
      <c r="S28" s="41"/>
      <c r="T28" s="44"/>
      <c r="U28" s="40"/>
      <c r="V28" s="45"/>
      <c r="W28" s="37" t="str">
        <f aca="true">IF(OR(C28="",V28=""),"",TODAY()-V28)</f>
        <v/>
      </c>
      <c r="X28" s="38" t="str">
        <f aca="true">IF(C28="","",ROUND(IF(V28="",40,MIN(40,(TODAY()-V28)/365*40))+IF(R28="Compliant",0,IF(R28="Pending Review",10,IF(R28="Non-Compliant",20,IF(R28="Exempt",5,10))))+IF(S28="Public",0,IF(S28="Internal",5,IF(S28="Confidential",10,IF(S28="Restricted",15,5))))+IF(F28="Cloud (SaaS API)",6,IF(F28="Private Cloud",5,IF(F28="Hybrid",7,IF(F28="On-Prem",8,IF(F28="Edge",10,5)))))+IF(K28="PASS",0,IF(K28="DEFERRED",10,IF(K28="NOT_RUN",12,IF(K28="FAIL",15,12)))),0))</f>
        <v/>
      </c>
      <c r="Y28" s="39" t="str">
        <f aca="false">IF(X28="","",IF(X28&gt;=70,"Critical",IF(X28&gt;=50,"High",IF(X28&gt;=25,"Medium","Low"))))</f>
        <v/>
      </c>
    </row>
    <row r="29" customFormat="false" ht="15" hidden="false" customHeight="false" outlineLevel="0" collapsed="false">
      <c r="A29" s="10"/>
      <c r="B29" s="40"/>
      <c r="C29" s="40"/>
      <c r="D29" s="40"/>
      <c r="E29" s="40"/>
      <c r="F29" s="40"/>
      <c r="G29" s="40"/>
      <c r="H29" s="40"/>
      <c r="I29" s="40"/>
      <c r="J29" s="41"/>
      <c r="K29" s="41"/>
      <c r="L29" s="41"/>
      <c r="M29" s="40"/>
      <c r="N29" s="42"/>
      <c r="O29" s="42"/>
      <c r="P29" s="42"/>
      <c r="Q29" s="40"/>
      <c r="R29" s="43"/>
      <c r="S29" s="41"/>
      <c r="T29" s="44"/>
      <c r="U29" s="40"/>
      <c r="V29" s="45"/>
      <c r="W29" s="37" t="str">
        <f aca="true">IF(OR(C29="",V29=""),"",TODAY()-V29)</f>
        <v/>
      </c>
      <c r="X29" s="38" t="str">
        <f aca="true">IF(C29="","",ROUND(IF(V29="",40,MIN(40,(TODAY()-V29)/365*40))+IF(R29="Compliant",0,IF(R29="Pending Review",10,IF(R29="Non-Compliant",20,IF(R29="Exempt",5,10))))+IF(S29="Public",0,IF(S29="Internal",5,IF(S29="Confidential",10,IF(S29="Restricted",15,5))))+IF(F29="Cloud (SaaS API)",6,IF(F29="Private Cloud",5,IF(F29="Hybrid",7,IF(F29="On-Prem",8,IF(F29="Edge",10,5)))))+IF(K29="PASS",0,IF(K29="DEFERRED",10,IF(K29="NOT_RUN",12,IF(K29="FAIL",15,12)))),0))</f>
        <v/>
      </c>
      <c r="Y29" s="39" t="str">
        <f aca="false">IF(X29="","",IF(X29&gt;=70,"Critical",IF(X29&gt;=50,"High",IF(X29&gt;=25,"Medium","Low"))))</f>
        <v/>
      </c>
    </row>
    <row r="30" customFormat="false" ht="15" hidden="false" customHeight="false" outlineLevel="0" collapsed="false">
      <c r="A30" s="10"/>
      <c r="B30" s="40"/>
      <c r="C30" s="40"/>
      <c r="D30" s="40"/>
      <c r="E30" s="40"/>
      <c r="F30" s="40"/>
      <c r="G30" s="40"/>
      <c r="H30" s="40"/>
      <c r="I30" s="40"/>
      <c r="J30" s="41"/>
      <c r="K30" s="41"/>
      <c r="L30" s="41"/>
      <c r="M30" s="40"/>
      <c r="N30" s="42"/>
      <c r="O30" s="42"/>
      <c r="P30" s="42"/>
      <c r="Q30" s="40"/>
      <c r="R30" s="43"/>
      <c r="S30" s="41"/>
      <c r="T30" s="44"/>
      <c r="U30" s="40"/>
      <c r="V30" s="45"/>
      <c r="W30" s="37" t="str">
        <f aca="true">IF(OR(C30="",V30=""),"",TODAY()-V30)</f>
        <v/>
      </c>
      <c r="X30" s="38" t="str">
        <f aca="true">IF(C30="","",ROUND(IF(V30="",40,MIN(40,(TODAY()-V30)/365*40))+IF(R30="Compliant",0,IF(R30="Pending Review",10,IF(R30="Non-Compliant",20,IF(R30="Exempt",5,10))))+IF(S30="Public",0,IF(S30="Internal",5,IF(S30="Confidential",10,IF(S30="Restricted",15,5))))+IF(F30="Cloud (SaaS API)",6,IF(F30="Private Cloud",5,IF(F30="Hybrid",7,IF(F30="On-Prem",8,IF(F30="Edge",10,5)))))+IF(K30="PASS",0,IF(K30="DEFERRED",10,IF(K30="NOT_RUN",12,IF(K30="FAIL",15,12)))),0))</f>
        <v/>
      </c>
      <c r="Y30" s="39" t="str">
        <f aca="false">IF(X30="","",IF(X30&gt;=70,"Critical",IF(X30&gt;=50,"High",IF(X30&gt;=25,"Medium","Low"))))</f>
        <v/>
      </c>
    </row>
    <row r="31" customFormat="false" ht="15" hidden="false" customHeight="false" outlineLevel="0" collapsed="false">
      <c r="A31" s="10"/>
      <c r="B31" s="40"/>
      <c r="C31" s="40"/>
      <c r="D31" s="40"/>
      <c r="E31" s="40"/>
      <c r="F31" s="40"/>
      <c r="G31" s="40"/>
      <c r="H31" s="40"/>
      <c r="I31" s="40"/>
      <c r="J31" s="41"/>
      <c r="K31" s="41"/>
      <c r="L31" s="41"/>
      <c r="M31" s="40"/>
      <c r="N31" s="42"/>
      <c r="O31" s="42"/>
      <c r="P31" s="42"/>
      <c r="Q31" s="40"/>
      <c r="R31" s="43"/>
      <c r="S31" s="41"/>
      <c r="T31" s="44"/>
      <c r="U31" s="40"/>
      <c r="V31" s="45"/>
      <c r="W31" s="37" t="str">
        <f aca="true">IF(OR(C31="",V31=""),"",TODAY()-V31)</f>
        <v/>
      </c>
      <c r="X31" s="38" t="str">
        <f aca="true">IF(C31="","",ROUND(IF(V31="",40,MIN(40,(TODAY()-V31)/365*40))+IF(R31="Compliant",0,IF(R31="Pending Review",10,IF(R31="Non-Compliant",20,IF(R31="Exempt",5,10))))+IF(S31="Public",0,IF(S31="Internal",5,IF(S31="Confidential",10,IF(S31="Restricted",15,5))))+IF(F31="Cloud (SaaS API)",6,IF(F31="Private Cloud",5,IF(F31="Hybrid",7,IF(F31="On-Prem",8,IF(F31="Edge",10,5)))))+IF(K31="PASS",0,IF(K31="DEFERRED",10,IF(K31="NOT_RUN",12,IF(K31="FAIL",15,12)))),0))</f>
        <v/>
      </c>
      <c r="Y31" s="39" t="str">
        <f aca="false">IF(X31="","",IF(X31&gt;=70,"Critical",IF(X31&gt;=50,"High",IF(X31&gt;=25,"Medium","Low"))))</f>
        <v/>
      </c>
    </row>
    <row r="32" customFormat="false" ht="15" hidden="false" customHeight="false" outlineLevel="0" collapsed="false">
      <c r="A32" s="10"/>
      <c r="B32" s="40"/>
      <c r="C32" s="40"/>
      <c r="D32" s="40"/>
      <c r="E32" s="40"/>
      <c r="F32" s="40"/>
      <c r="G32" s="40"/>
      <c r="H32" s="40"/>
      <c r="I32" s="40"/>
      <c r="J32" s="41"/>
      <c r="K32" s="41"/>
      <c r="L32" s="41"/>
      <c r="M32" s="40"/>
      <c r="N32" s="42"/>
      <c r="O32" s="42"/>
      <c r="P32" s="42"/>
      <c r="Q32" s="40"/>
      <c r="R32" s="43"/>
      <c r="S32" s="41"/>
      <c r="T32" s="44"/>
      <c r="U32" s="40"/>
      <c r="V32" s="45"/>
      <c r="W32" s="37" t="str">
        <f aca="true">IF(OR(C32="",V32=""),"",TODAY()-V32)</f>
        <v/>
      </c>
      <c r="X32" s="38" t="str">
        <f aca="true">IF(C32="","",ROUND(IF(V32="",40,MIN(40,(TODAY()-V32)/365*40))+IF(R32="Compliant",0,IF(R32="Pending Review",10,IF(R32="Non-Compliant",20,IF(R32="Exempt",5,10))))+IF(S32="Public",0,IF(S32="Internal",5,IF(S32="Confidential",10,IF(S32="Restricted",15,5))))+IF(F32="Cloud (SaaS API)",6,IF(F32="Private Cloud",5,IF(F32="Hybrid",7,IF(F32="On-Prem",8,IF(F32="Edge",10,5)))))+IF(K32="PASS",0,IF(K32="DEFERRED",10,IF(K32="NOT_RUN",12,IF(K32="FAIL",15,12)))),0))</f>
        <v/>
      </c>
      <c r="Y32" s="39" t="str">
        <f aca="false">IF(X32="","",IF(X32&gt;=70,"Critical",IF(X32&gt;=50,"High",IF(X32&gt;=25,"Medium","Low"))))</f>
        <v/>
      </c>
    </row>
    <row r="33" customFormat="false" ht="15" hidden="false" customHeight="false" outlineLevel="0" collapsed="false">
      <c r="A33" s="10"/>
      <c r="B33" s="40"/>
      <c r="C33" s="40"/>
      <c r="D33" s="40"/>
      <c r="E33" s="40"/>
      <c r="F33" s="40"/>
      <c r="G33" s="40"/>
      <c r="H33" s="40"/>
      <c r="I33" s="40"/>
      <c r="J33" s="41"/>
      <c r="K33" s="41"/>
      <c r="L33" s="41"/>
      <c r="M33" s="40"/>
      <c r="N33" s="42"/>
      <c r="O33" s="42"/>
      <c r="P33" s="42"/>
      <c r="Q33" s="40"/>
      <c r="R33" s="43"/>
      <c r="S33" s="41"/>
      <c r="T33" s="44"/>
      <c r="U33" s="40"/>
      <c r="V33" s="45"/>
      <c r="W33" s="37" t="str">
        <f aca="true">IF(OR(C33="",V33=""),"",TODAY()-V33)</f>
        <v/>
      </c>
      <c r="X33" s="38" t="str">
        <f aca="true">IF(C33="","",ROUND(IF(V33="",40,MIN(40,(TODAY()-V33)/365*40))+IF(R33="Compliant",0,IF(R33="Pending Review",10,IF(R33="Non-Compliant",20,IF(R33="Exempt",5,10))))+IF(S33="Public",0,IF(S33="Internal",5,IF(S33="Confidential",10,IF(S33="Restricted",15,5))))+IF(F33="Cloud (SaaS API)",6,IF(F33="Private Cloud",5,IF(F33="Hybrid",7,IF(F33="On-Prem",8,IF(F33="Edge",10,5)))))+IF(K33="PASS",0,IF(K33="DEFERRED",10,IF(K33="NOT_RUN",12,IF(K33="FAIL",15,12)))),0))</f>
        <v/>
      </c>
      <c r="Y33" s="39" t="str">
        <f aca="false">IF(X33="","",IF(X33&gt;=70,"Critical",IF(X33&gt;=50,"High",IF(X33&gt;=25,"Medium","Low"))))</f>
        <v/>
      </c>
    </row>
    <row r="34" customFormat="false" ht="15" hidden="false" customHeight="false" outlineLevel="0" collapsed="false">
      <c r="A34" s="10"/>
      <c r="B34" s="40"/>
      <c r="C34" s="40"/>
      <c r="D34" s="40"/>
      <c r="E34" s="40"/>
      <c r="F34" s="40"/>
      <c r="G34" s="40"/>
      <c r="H34" s="40"/>
      <c r="I34" s="40"/>
      <c r="J34" s="41"/>
      <c r="K34" s="41"/>
      <c r="L34" s="41"/>
      <c r="M34" s="40"/>
      <c r="N34" s="42"/>
      <c r="O34" s="42"/>
      <c r="P34" s="42"/>
      <c r="Q34" s="40"/>
      <c r="R34" s="43"/>
      <c r="S34" s="41"/>
      <c r="T34" s="44"/>
      <c r="U34" s="40"/>
      <c r="V34" s="45"/>
      <c r="W34" s="37" t="str">
        <f aca="true">IF(OR(C34="",V34=""),"",TODAY()-V34)</f>
        <v/>
      </c>
      <c r="X34" s="38" t="str">
        <f aca="true">IF(C34="","",ROUND(IF(V34="",40,MIN(40,(TODAY()-V34)/365*40))+IF(R34="Compliant",0,IF(R34="Pending Review",10,IF(R34="Non-Compliant",20,IF(R34="Exempt",5,10))))+IF(S34="Public",0,IF(S34="Internal",5,IF(S34="Confidential",10,IF(S34="Restricted",15,5))))+IF(F34="Cloud (SaaS API)",6,IF(F34="Private Cloud",5,IF(F34="Hybrid",7,IF(F34="On-Prem",8,IF(F34="Edge",10,5)))))+IF(K34="PASS",0,IF(K34="DEFERRED",10,IF(K34="NOT_RUN",12,IF(K34="FAIL",15,12)))),0))</f>
        <v/>
      </c>
      <c r="Y34" s="39" t="str">
        <f aca="false">IF(X34="","",IF(X34&gt;=70,"Critical",IF(X34&gt;=50,"High",IF(X34&gt;=25,"Medium","Low"))))</f>
        <v/>
      </c>
    </row>
    <row r="35" customFormat="false" ht="15" hidden="false" customHeight="false" outlineLevel="0" collapsed="false">
      <c r="A35" s="10"/>
      <c r="B35" s="40"/>
      <c r="C35" s="40"/>
      <c r="D35" s="40"/>
      <c r="E35" s="40"/>
      <c r="F35" s="40"/>
      <c r="G35" s="40"/>
      <c r="H35" s="40"/>
      <c r="I35" s="40"/>
      <c r="J35" s="41"/>
      <c r="K35" s="41"/>
      <c r="L35" s="41"/>
      <c r="M35" s="40"/>
      <c r="N35" s="42"/>
      <c r="O35" s="42"/>
      <c r="P35" s="42"/>
      <c r="Q35" s="40"/>
      <c r="R35" s="43"/>
      <c r="S35" s="41"/>
      <c r="T35" s="44"/>
      <c r="U35" s="40"/>
      <c r="V35" s="45"/>
      <c r="W35" s="37" t="str">
        <f aca="true">IF(OR(C35="",V35=""),"",TODAY()-V35)</f>
        <v/>
      </c>
      <c r="X35" s="38" t="str">
        <f aca="true">IF(C35="","",ROUND(IF(V35="",40,MIN(40,(TODAY()-V35)/365*40))+IF(R35="Compliant",0,IF(R35="Pending Review",10,IF(R35="Non-Compliant",20,IF(R35="Exempt",5,10))))+IF(S35="Public",0,IF(S35="Internal",5,IF(S35="Confidential",10,IF(S35="Restricted",15,5))))+IF(F35="Cloud (SaaS API)",6,IF(F35="Private Cloud",5,IF(F35="Hybrid",7,IF(F35="On-Prem",8,IF(F35="Edge",10,5)))))+IF(K35="PASS",0,IF(K35="DEFERRED",10,IF(K35="NOT_RUN",12,IF(K35="FAIL",15,12)))),0))</f>
        <v/>
      </c>
      <c r="Y35" s="39" t="str">
        <f aca="false">IF(X35="","",IF(X35&gt;=70,"Critical",IF(X35&gt;=50,"High",IF(X35&gt;=25,"Medium","Low"))))</f>
        <v/>
      </c>
    </row>
    <row r="36" customFormat="false" ht="15" hidden="false" customHeight="false" outlineLevel="0" collapsed="false">
      <c r="A36" s="10"/>
      <c r="B36" s="40"/>
      <c r="C36" s="40"/>
      <c r="D36" s="40"/>
      <c r="E36" s="40"/>
      <c r="F36" s="40"/>
      <c r="G36" s="40"/>
      <c r="H36" s="40"/>
      <c r="I36" s="40"/>
      <c r="J36" s="41"/>
      <c r="K36" s="41"/>
      <c r="L36" s="41"/>
      <c r="M36" s="40"/>
      <c r="N36" s="42"/>
      <c r="O36" s="42"/>
      <c r="P36" s="42"/>
      <c r="Q36" s="40"/>
      <c r="R36" s="43"/>
      <c r="S36" s="41"/>
      <c r="T36" s="44"/>
      <c r="U36" s="40"/>
      <c r="V36" s="45"/>
      <c r="W36" s="37" t="str">
        <f aca="true">IF(OR(C36="",V36=""),"",TODAY()-V36)</f>
        <v/>
      </c>
      <c r="X36" s="38" t="str">
        <f aca="true">IF(C36="","",ROUND(IF(V36="",40,MIN(40,(TODAY()-V36)/365*40))+IF(R36="Compliant",0,IF(R36="Pending Review",10,IF(R36="Non-Compliant",20,IF(R36="Exempt",5,10))))+IF(S36="Public",0,IF(S36="Internal",5,IF(S36="Confidential",10,IF(S36="Restricted",15,5))))+IF(F36="Cloud (SaaS API)",6,IF(F36="Private Cloud",5,IF(F36="Hybrid",7,IF(F36="On-Prem",8,IF(F36="Edge",10,5)))))+IF(K36="PASS",0,IF(K36="DEFERRED",10,IF(K36="NOT_RUN",12,IF(K36="FAIL",15,12)))),0))</f>
        <v/>
      </c>
      <c r="Y36" s="39" t="str">
        <f aca="false">IF(X36="","",IF(X36&gt;=70,"Critical",IF(X36&gt;=50,"High",IF(X36&gt;=25,"Medium","Low"))))</f>
        <v/>
      </c>
    </row>
    <row r="37" customFormat="false" ht="15" hidden="false" customHeight="false" outlineLevel="0" collapsed="false">
      <c r="A37" s="10"/>
      <c r="B37" s="40"/>
      <c r="C37" s="40"/>
      <c r="D37" s="40"/>
      <c r="E37" s="40"/>
      <c r="F37" s="40"/>
      <c r="G37" s="40"/>
      <c r="H37" s="40"/>
      <c r="I37" s="40"/>
      <c r="J37" s="41"/>
      <c r="K37" s="41"/>
      <c r="L37" s="41"/>
      <c r="M37" s="40"/>
      <c r="N37" s="42"/>
      <c r="O37" s="42"/>
      <c r="P37" s="42"/>
      <c r="Q37" s="40"/>
      <c r="R37" s="43"/>
      <c r="S37" s="41"/>
      <c r="T37" s="44"/>
      <c r="U37" s="40"/>
      <c r="V37" s="45"/>
      <c r="W37" s="37" t="str">
        <f aca="true">IF(OR(C37="",V37=""),"",TODAY()-V37)</f>
        <v/>
      </c>
      <c r="X37" s="38" t="str">
        <f aca="true">IF(C37="","",ROUND(IF(V37="",40,MIN(40,(TODAY()-V37)/365*40))+IF(R37="Compliant",0,IF(R37="Pending Review",10,IF(R37="Non-Compliant",20,IF(R37="Exempt",5,10))))+IF(S37="Public",0,IF(S37="Internal",5,IF(S37="Confidential",10,IF(S37="Restricted",15,5))))+IF(F37="Cloud (SaaS API)",6,IF(F37="Private Cloud",5,IF(F37="Hybrid",7,IF(F37="On-Prem",8,IF(F37="Edge",10,5)))))+IF(K37="PASS",0,IF(K37="DEFERRED",10,IF(K37="NOT_RUN",12,IF(K37="FAIL",15,12)))),0))</f>
        <v/>
      </c>
      <c r="Y37" s="39" t="str">
        <f aca="false">IF(X37="","",IF(X37&gt;=70,"Critical",IF(X37&gt;=50,"High",IF(X37&gt;=25,"Medium","Low"))))</f>
        <v/>
      </c>
    </row>
    <row r="38" customFormat="false" ht="15" hidden="false" customHeight="false" outlineLevel="0" collapsed="false">
      <c r="A38" s="10"/>
      <c r="B38" s="40"/>
      <c r="C38" s="40"/>
      <c r="D38" s="40"/>
      <c r="E38" s="40"/>
      <c r="F38" s="40"/>
      <c r="G38" s="40"/>
      <c r="H38" s="40"/>
      <c r="I38" s="40"/>
      <c r="J38" s="41"/>
      <c r="K38" s="41"/>
      <c r="L38" s="41"/>
      <c r="M38" s="40"/>
      <c r="N38" s="42"/>
      <c r="O38" s="42"/>
      <c r="P38" s="42"/>
      <c r="Q38" s="40"/>
      <c r="R38" s="43"/>
      <c r="S38" s="41"/>
      <c r="T38" s="44"/>
      <c r="U38" s="40"/>
      <c r="V38" s="45"/>
      <c r="W38" s="37" t="str">
        <f aca="true">IF(OR(C38="",V38=""),"",TODAY()-V38)</f>
        <v/>
      </c>
      <c r="X38" s="38" t="str">
        <f aca="true">IF(C38="","",ROUND(IF(V38="",40,MIN(40,(TODAY()-V38)/365*40))+IF(R38="Compliant",0,IF(R38="Pending Review",10,IF(R38="Non-Compliant",20,IF(R38="Exempt",5,10))))+IF(S38="Public",0,IF(S38="Internal",5,IF(S38="Confidential",10,IF(S38="Restricted",15,5))))+IF(F38="Cloud (SaaS API)",6,IF(F38="Private Cloud",5,IF(F38="Hybrid",7,IF(F38="On-Prem",8,IF(F38="Edge",10,5)))))+IF(K38="PASS",0,IF(K38="DEFERRED",10,IF(K38="NOT_RUN",12,IF(K38="FAIL",15,12)))),0))</f>
        <v/>
      </c>
      <c r="Y38" s="39" t="str">
        <f aca="false">IF(X38="","",IF(X38&gt;=70,"Critical",IF(X38&gt;=50,"High",IF(X38&gt;=25,"Medium","Low"))))</f>
        <v/>
      </c>
    </row>
    <row r="39" customFormat="false" ht="15" hidden="false" customHeight="false" outlineLevel="0" collapsed="false">
      <c r="A39" s="10"/>
      <c r="B39" s="40"/>
      <c r="C39" s="40"/>
      <c r="D39" s="40"/>
      <c r="E39" s="40"/>
      <c r="F39" s="40"/>
      <c r="G39" s="40"/>
      <c r="H39" s="40"/>
      <c r="I39" s="40"/>
      <c r="J39" s="41"/>
      <c r="K39" s="41"/>
      <c r="L39" s="41"/>
      <c r="M39" s="40"/>
      <c r="N39" s="42"/>
      <c r="O39" s="42"/>
      <c r="P39" s="42"/>
      <c r="Q39" s="40"/>
      <c r="R39" s="43"/>
      <c r="S39" s="41"/>
      <c r="T39" s="44"/>
      <c r="U39" s="40"/>
      <c r="V39" s="45"/>
      <c r="W39" s="37" t="str">
        <f aca="true">IF(OR(C39="",V39=""),"",TODAY()-V39)</f>
        <v/>
      </c>
      <c r="X39" s="38" t="str">
        <f aca="true">IF(C39="","",ROUND(IF(V39="",40,MIN(40,(TODAY()-V39)/365*40))+IF(R39="Compliant",0,IF(R39="Pending Review",10,IF(R39="Non-Compliant",20,IF(R39="Exempt",5,10))))+IF(S39="Public",0,IF(S39="Internal",5,IF(S39="Confidential",10,IF(S39="Restricted",15,5))))+IF(F39="Cloud (SaaS API)",6,IF(F39="Private Cloud",5,IF(F39="Hybrid",7,IF(F39="On-Prem",8,IF(F39="Edge",10,5)))))+IF(K39="PASS",0,IF(K39="DEFERRED",10,IF(K39="NOT_RUN",12,IF(K39="FAIL",15,12)))),0))</f>
        <v/>
      </c>
      <c r="Y39" s="39" t="str">
        <f aca="false">IF(X39="","",IF(X39&gt;=70,"Critical",IF(X39&gt;=50,"High",IF(X39&gt;=25,"Medium","Low"))))</f>
        <v/>
      </c>
    </row>
    <row r="40" customFormat="false" ht="15" hidden="false" customHeight="false" outlineLevel="0" collapsed="false">
      <c r="A40" s="10"/>
      <c r="B40" s="40"/>
      <c r="C40" s="40"/>
      <c r="D40" s="40"/>
      <c r="E40" s="40"/>
      <c r="F40" s="40"/>
      <c r="G40" s="40"/>
      <c r="H40" s="40"/>
      <c r="I40" s="40"/>
      <c r="J40" s="41"/>
      <c r="K40" s="41"/>
      <c r="L40" s="41"/>
      <c r="M40" s="40"/>
      <c r="N40" s="42"/>
      <c r="O40" s="42"/>
      <c r="P40" s="42"/>
      <c r="Q40" s="40"/>
      <c r="R40" s="43"/>
      <c r="S40" s="41"/>
      <c r="T40" s="44"/>
      <c r="U40" s="40"/>
      <c r="V40" s="45"/>
      <c r="W40" s="37" t="str">
        <f aca="true">IF(OR(C40="",V40=""),"",TODAY()-V40)</f>
        <v/>
      </c>
      <c r="X40" s="38" t="str">
        <f aca="true">IF(C40="","",ROUND(IF(V40="",40,MIN(40,(TODAY()-V40)/365*40))+IF(R40="Compliant",0,IF(R40="Pending Review",10,IF(R40="Non-Compliant",20,IF(R40="Exempt",5,10))))+IF(S40="Public",0,IF(S40="Internal",5,IF(S40="Confidential",10,IF(S40="Restricted",15,5))))+IF(F40="Cloud (SaaS API)",6,IF(F40="Private Cloud",5,IF(F40="Hybrid",7,IF(F40="On-Prem",8,IF(F40="Edge",10,5)))))+IF(K40="PASS",0,IF(K40="DEFERRED",10,IF(K40="NOT_RUN",12,IF(K40="FAIL",15,12)))),0))</f>
        <v/>
      </c>
      <c r="Y40" s="39" t="str">
        <f aca="false">IF(X40="","",IF(X40&gt;=70,"Critical",IF(X40&gt;=50,"High",IF(X40&gt;=25,"Medium","Low"))))</f>
        <v/>
      </c>
    </row>
    <row r="41" customFormat="false" ht="15" hidden="false" customHeight="false" outlineLevel="0" collapsed="false">
      <c r="A41" s="10"/>
      <c r="B41" s="40"/>
      <c r="C41" s="40"/>
      <c r="D41" s="40"/>
      <c r="E41" s="40"/>
      <c r="F41" s="40"/>
      <c r="G41" s="40"/>
      <c r="H41" s="40"/>
      <c r="I41" s="40"/>
      <c r="J41" s="41"/>
      <c r="K41" s="41"/>
      <c r="L41" s="41"/>
      <c r="M41" s="40"/>
      <c r="N41" s="42"/>
      <c r="O41" s="42"/>
      <c r="P41" s="42"/>
      <c r="Q41" s="40"/>
      <c r="R41" s="43"/>
      <c r="S41" s="41"/>
      <c r="T41" s="44"/>
      <c r="U41" s="40"/>
      <c r="V41" s="45"/>
      <c r="W41" s="37" t="str">
        <f aca="true">IF(OR(C41="",V41=""),"",TODAY()-V41)</f>
        <v/>
      </c>
      <c r="X41" s="38" t="str">
        <f aca="true">IF(C41="","",ROUND(IF(V41="",40,MIN(40,(TODAY()-V41)/365*40))+IF(R41="Compliant",0,IF(R41="Pending Review",10,IF(R41="Non-Compliant",20,IF(R41="Exempt",5,10))))+IF(S41="Public",0,IF(S41="Internal",5,IF(S41="Confidential",10,IF(S41="Restricted",15,5))))+IF(F41="Cloud (SaaS API)",6,IF(F41="Private Cloud",5,IF(F41="Hybrid",7,IF(F41="On-Prem",8,IF(F41="Edge",10,5)))))+IF(K41="PASS",0,IF(K41="DEFERRED",10,IF(K41="NOT_RUN",12,IF(K41="FAIL",15,12)))),0))</f>
        <v/>
      </c>
      <c r="Y41" s="39" t="str">
        <f aca="false">IF(X41="","",IF(X41&gt;=70,"Critical",IF(X41&gt;=50,"High",IF(X41&gt;=25,"Medium","Low"))))</f>
        <v/>
      </c>
    </row>
    <row r="42" customFormat="false" ht="15" hidden="false" customHeight="false" outlineLevel="0" collapsed="false">
      <c r="A42" s="10"/>
      <c r="B42" s="40"/>
      <c r="C42" s="40"/>
      <c r="D42" s="40"/>
      <c r="E42" s="40"/>
      <c r="F42" s="40"/>
      <c r="G42" s="40"/>
      <c r="H42" s="40"/>
      <c r="I42" s="40"/>
      <c r="J42" s="41"/>
      <c r="K42" s="41"/>
      <c r="L42" s="41"/>
      <c r="M42" s="40"/>
      <c r="N42" s="42"/>
      <c r="O42" s="42"/>
      <c r="P42" s="42"/>
      <c r="Q42" s="40"/>
      <c r="R42" s="43"/>
      <c r="S42" s="41"/>
      <c r="T42" s="44"/>
      <c r="U42" s="40"/>
      <c r="V42" s="45"/>
      <c r="W42" s="37" t="str">
        <f aca="true">IF(OR(C42="",V42=""),"",TODAY()-V42)</f>
        <v/>
      </c>
      <c r="X42" s="38" t="str">
        <f aca="true">IF(C42="","",ROUND(IF(V42="",40,MIN(40,(TODAY()-V42)/365*40))+IF(R42="Compliant",0,IF(R42="Pending Review",10,IF(R42="Non-Compliant",20,IF(R42="Exempt",5,10))))+IF(S42="Public",0,IF(S42="Internal",5,IF(S42="Confidential",10,IF(S42="Restricted",15,5))))+IF(F42="Cloud (SaaS API)",6,IF(F42="Private Cloud",5,IF(F42="Hybrid",7,IF(F42="On-Prem",8,IF(F42="Edge",10,5)))))+IF(K42="PASS",0,IF(K42="DEFERRED",10,IF(K42="NOT_RUN",12,IF(K42="FAIL",15,12)))),0))</f>
        <v/>
      </c>
      <c r="Y42" s="39" t="str">
        <f aca="false">IF(X42="","",IF(X42&gt;=70,"Critical",IF(X42&gt;=50,"High",IF(X42&gt;=25,"Medium","Low"))))</f>
        <v/>
      </c>
    </row>
    <row r="43" customFormat="false" ht="15" hidden="false" customHeight="false" outlineLevel="0" collapsed="false">
      <c r="A43" s="10"/>
      <c r="B43" s="40"/>
      <c r="C43" s="40"/>
      <c r="D43" s="40"/>
      <c r="E43" s="40"/>
      <c r="F43" s="40"/>
      <c r="G43" s="40"/>
      <c r="H43" s="40"/>
      <c r="I43" s="40"/>
      <c r="J43" s="41"/>
      <c r="K43" s="41"/>
      <c r="L43" s="41"/>
      <c r="M43" s="40"/>
      <c r="N43" s="42"/>
      <c r="O43" s="42"/>
      <c r="P43" s="42"/>
      <c r="Q43" s="40"/>
      <c r="R43" s="43"/>
      <c r="S43" s="41"/>
      <c r="T43" s="44"/>
      <c r="U43" s="40"/>
      <c r="V43" s="45"/>
      <c r="W43" s="37" t="str">
        <f aca="true">IF(OR(C43="",V43=""),"",TODAY()-V43)</f>
        <v/>
      </c>
      <c r="X43" s="38" t="str">
        <f aca="true">IF(C43="","",ROUND(IF(V43="",40,MIN(40,(TODAY()-V43)/365*40))+IF(R43="Compliant",0,IF(R43="Pending Review",10,IF(R43="Non-Compliant",20,IF(R43="Exempt",5,10))))+IF(S43="Public",0,IF(S43="Internal",5,IF(S43="Confidential",10,IF(S43="Restricted",15,5))))+IF(F43="Cloud (SaaS API)",6,IF(F43="Private Cloud",5,IF(F43="Hybrid",7,IF(F43="On-Prem",8,IF(F43="Edge",10,5)))))+IF(K43="PASS",0,IF(K43="DEFERRED",10,IF(K43="NOT_RUN",12,IF(K43="FAIL",15,12)))),0))</f>
        <v/>
      </c>
      <c r="Y43" s="39" t="str">
        <f aca="false">IF(X43="","",IF(X43&gt;=70,"Critical",IF(X43&gt;=50,"High",IF(X43&gt;=25,"Medium","Low"))))</f>
        <v/>
      </c>
    </row>
    <row r="44" customFormat="false" ht="15" hidden="false" customHeight="false" outlineLevel="0" collapsed="false">
      <c r="A44" s="10"/>
      <c r="B44" s="40"/>
      <c r="C44" s="40"/>
      <c r="D44" s="40"/>
      <c r="E44" s="40"/>
      <c r="F44" s="40"/>
      <c r="G44" s="40"/>
      <c r="H44" s="40"/>
      <c r="I44" s="40"/>
      <c r="J44" s="41"/>
      <c r="K44" s="41"/>
      <c r="L44" s="41"/>
      <c r="M44" s="40"/>
      <c r="N44" s="42"/>
      <c r="O44" s="42"/>
      <c r="P44" s="42"/>
      <c r="Q44" s="40"/>
      <c r="R44" s="43"/>
      <c r="S44" s="41"/>
      <c r="T44" s="44"/>
      <c r="U44" s="40"/>
      <c r="V44" s="45"/>
      <c r="W44" s="37" t="str">
        <f aca="true">IF(OR(C44="",V44=""),"",TODAY()-V44)</f>
        <v/>
      </c>
      <c r="X44" s="38" t="str">
        <f aca="true">IF(C44="","",ROUND(IF(V44="",40,MIN(40,(TODAY()-V44)/365*40))+IF(R44="Compliant",0,IF(R44="Pending Review",10,IF(R44="Non-Compliant",20,IF(R44="Exempt",5,10))))+IF(S44="Public",0,IF(S44="Internal",5,IF(S44="Confidential",10,IF(S44="Restricted",15,5))))+IF(F44="Cloud (SaaS API)",6,IF(F44="Private Cloud",5,IF(F44="Hybrid",7,IF(F44="On-Prem",8,IF(F44="Edge",10,5)))))+IF(K44="PASS",0,IF(K44="DEFERRED",10,IF(K44="NOT_RUN",12,IF(K44="FAIL",15,12)))),0))</f>
        <v/>
      </c>
      <c r="Y44" s="39" t="str">
        <f aca="false">IF(X44="","",IF(X44&gt;=70,"Critical",IF(X44&gt;=50,"High",IF(X44&gt;=25,"Medium","Low"))))</f>
        <v/>
      </c>
    </row>
    <row r="45" customFormat="false" ht="15" hidden="false" customHeight="false" outlineLevel="0" collapsed="false">
      <c r="A45" s="10"/>
      <c r="B45" s="40"/>
      <c r="C45" s="40"/>
      <c r="D45" s="40"/>
      <c r="E45" s="40"/>
      <c r="F45" s="40"/>
      <c r="G45" s="40"/>
      <c r="H45" s="40"/>
      <c r="I45" s="40"/>
      <c r="J45" s="41"/>
      <c r="K45" s="41"/>
      <c r="L45" s="41"/>
      <c r="M45" s="40"/>
      <c r="N45" s="42"/>
      <c r="O45" s="42"/>
      <c r="P45" s="42"/>
      <c r="Q45" s="40"/>
      <c r="R45" s="43"/>
      <c r="S45" s="41"/>
      <c r="T45" s="44"/>
      <c r="U45" s="40"/>
      <c r="V45" s="45"/>
      <c r="W45" s="37" t="str">
        <f aca="true">IF(OR(C45="",V45=""),"",TODAY()-V45)</f>
        <v/>
      </c>
      <c r="X45" s="38" t="str">
        <f aca="true">IF(C45="","",ROUND(IF(V45="",40,MIN(40,(TODAY()-V45)/365*40))+IF(R45="Compliant",0,IF(R45="Pending Review",10,IF(R45="Non-Compliant",20,IF(R45="Exempt",5,10))))+IF(S45="Public",0,IF(S45="Internal",5,IF(S45="Confidential",10,IF(S45="Restricted",15,5))))+IF(F45="Cloud (SaaS API)",6,IF(F45="Private Cloud",5,IF(F45="Hybrid",7,IF(F45="On-Prem",8,IF(F45="Edge",10,5)))))+IF(K45="PASS",0,IF(K45="DEFERRED",10,IF(K45="NOT_RUN",12,IF(K45="FAIL",15,12)))),0))</f>
        <v/>
      </c>
      <c r="Y45" s="39" t="str">
        <f aca="false">IF(X45="","",IF(X45&gt;=70,"Critical",IF(X45&gt;=50,"High",IF(X45&gt;=25,"Medium","Low"))))</f>
        <v/>
      </c>
    </row>
    <row r="46" customFormat="false" ht="15" hidden="false" customHeight="false" outlineLevel="0" collapsed="false">
      <c r="A46" s="10"/>
      <c r="B46" s="40"/>
      <c r="C46" s="40"/>
      <c r="D46" s="40"/>
      <c r="E46" s="40"/>
      <c r="F46" s="40"/>
      <c r="G46" s="40"/>
      <c r="H46" s="40"/>
      <c r="I46" s="40"/>
      <c r="J46" s="41"/>
      <c r="K46" s="41"/>
      <c r="L46" s="41"/>
      <c r="M46" s="40"/>
      <c r="N46" s="42"/>
      <c r="O46" s="42"/>
      <c r="P46" s="42"/>
      <c r="Q46" s="40"/>
      <c r="R46" s="43"/>
      <c r="S46" s="41"/>
      <c r="T46" s="44"/>
      <c r="U46" s="40"/>
      <c r="V46" s="45"/>
      <c r="W46" s="37" t="str">
        <f aca="true">IF(OR(C46="",V46=""),"",TODAY()-V46)</f>
        <v/>
      </c>
      <c r="X46" s="38" t="str">
        <f aca="true">IF(C46="","",ROUND(IF(V46="",40,MIN(40,(TODAY()-V46)/365*40))+IF(R46="Compliant",0,IF(R46="Pending Review",10,IF(R46="Non-Compliant",20,IF(R46="Exempt",5,10))))+IF(S46="Public",0,IF(S46="Internal",5,IF(S46="Confidential",10,IF(S46="Restricted",15,5))))+IF(F46="Cloud (SaaS API)",6,IF(F46="Private Cloud",5,IF(F46="Hybrid",7,IF(F46="On-Prem",8,IF(F46="Edge",10,5)))))+IF(K46="PASS",0,IF(K46="DEFERRED",10,IF(K46="NOT_RUN",12,IF(K46="FAIL",15,12)))),0))</f>
        <v/>
      </c>
      <c r="Y46" s="39" t="str">
        <f aca="false">IF(X46="","",IF(X46&gt;=70,"Critical",IF(X46&gt;=50,"High",IF(X46&gt;=25,"Medium","Low"))))</f>
        <v/>
      </c>
    </row>
    <row r="47" customFormat="false" ht="15" hidden="false" customHeight="false" outlineLevel="0" collapsed="false">
      <c r="A47" s="10"/>
      <c r="B47" s="40"/>
      <c r="C47" s="40"/>
      <c r="D47" s="40"/>
      <c r="E47" s="40"/>
      <c r="F47" s="40"/>
      <c r="G47" s="40"/>
      <c r="H47" s="40"/>
      <c r="I47" s="40"/>
      <c r="J47" s="41"/>
      <c r="K47" s="41"/>
      <c r="L47" s="41"/>
      <c r="M47" s="40"/>
      <c r="N47" s="42"/>
      <c r="O47" s="42"/>
      <c r="P47" s="42"/>
      <c r="Q47" s="40"/>
      <c r="R47" s="43"/>
      <c r="S47" s="41"/>
      <c r="T47" s="44"/>
      <c r="U47" s="40"/>
      <c r="V47" s="45"/>
      <c r="W47" s="37" t="str">
        <f aca="true">IF(OR(C47="",V47=""),"",TODAY()-V47)</f>
        <v/>
      </c>
      <c r="X47" s="38" t="str">
        <f aca="true">IF(C47="","",ROUND(IF(V47="",40,MIN(40,(TODAY()-V47)/365*40))+IF(R47="Compliant",0,IF(R47="Pending Review",10,IF(R47="Non-Compliant",20,IF(R47="Exempt",5,10))))+IF(S47="Public",0,IF(S47="Internal",5,IF(S47="Confidential",10,IF(S47="Restricted",15,5))))+IF(F47="Cloud (SaaS API)",6,IF(F47="Private Cloud",5,IF(F47="Hybrid",7,IF(F47="On-Prem",8,IF(F47="Edge",10,5)))))+IF(K47="PASS",0,IF(K47="DEFERRED",10,IF(K47="NOT_RUN",12,IF(K47="FAIL",15,12)))),0))</f>
        <v/>
      </c>
      <c r="Y47" s="39" t="str">
        <f aca="false">IF(X47="","",IF(X47&gt;=70,"Critical",IF(X47&gt;=50,"High",IF(X47&gt;=25,"Medium","Low"))))</f>
        <v/>
      </c>
    </row>
    <row r="48" customFormat="false" ht="15" hidden="false" customHeight="false" outlineLevel="0" collapsed="false">
      <c r="A48" s="10"/>
      <c r="B48" s="40"/>
      <c r="C48" s="40"/>
      <c r="D48" s="40"/>
      <c r="E48" s="40"/>
      <c r="F48" s="40"/>
      <c r="G48" s="40"/>
      <c r="H48" s="40"/>
      <c r="I48" s="40"/>
      <c r="J48" s="41"/>
      <c r="K48" s="41"/>
      <c r="L48" s="41"/>
      <c r="M48" s="40"/>
      <c r="N48" s="42"/>
      <c r="O48" s="42"/>
      <c r="P48" s="42"/>
      <c r="Q48" s="40"/>
      <c r="R48" s="43"/>
      <c r="S48" s="41"/>
      <c r="T48" s="44"/>
      <c r="U48" s="40"/>
      <c r="V48" s="45"/>
      <c r="W48" s="37" t="str">
        <f aca="true">IF(OR(C48="",V48=""),"",TODAY()-V48)</f>
        <v/>
      </c>
      <c r="X48" s="38" t="str">
        <f aca="true">IF(C48="","",ROUND(IF(V48="",40,MIN(40,(TODAY()-V48)/365*40))+IF(R48="Compliant",0,IF(R48="Pending Review",10,IF(R48="Non-Compliant",20,IF(R48="Exempt",5,10))))+IF(S48="Public",0,IF(S48="Internal",5,IF(S48="Confidential",10,IF(S48="Restricted",15,5))))+IF(F48="Cloud (SaaS API)",6,IF(F48="Private Cloud",5,IF(F48="Hybrid",7,IF(F48="On-Prem",8,IF(F48="Edge",10,5)))))+IF(K48="PASS",0,IF(K48="DEFERRED",10,IF(K48="NOT_RUN",12,IF(K48="FAIL",15,12)))),0))</f>
        <v/>
      </c>
      <c r="Y48" s="39" t="str">
        <f aca="false">IF(X48="","",IF(X48&gt;=70,"Critical",IF(X48&gt;=50,"High",IF(X48&gt;=25,"Medium","Low"))))</f>
        <v/>
      </c>
    </row>
    <row r="49" customFormat="false" ht="15" hidden="false" customHeight="false" outlineLevel="0" collapsed="false">
      <c r="A49" s="10"/>
      <c r="B49" s="40"/>
      <c r="C49" s="40"/>
      <c r="D49" s="40"/>
      <c r="E49" s="40"/>
      <c r="F49" s="40"/>
      <c r="G49" s="40"/>
      <c r="H49" s="40"/>
      <c r="I49" s="40"/>
      <c r="J49" s="41"/>
      <c r="K49" s="41"/>
      <c r="L49" s="41"/>
      <c r="M49" s="40"/>
      <c r="N49" s="42"/>
      <c r="O49" s="42"/>
      <c r="P49" s="42"/>
      <c r="Q49" s="40"/>
      <c r="R49" s="43"/>
      <c r="S49" s="41"/>
      <c r="T49" s="44"/>
      <c r="U49" s="40"/>
      <c r="V49" s="45"/>
      <c r="W49" s="37" t="str">
        <f aca="true">IF(OR(C49="",V49=""),"",TODAY()-V49)</f>
        <v/>
      </c>
      <c r="X49" s="38" t="str">
        <f aca="true">IF(C49="","",ROUND(IF(V49="",40,MIN(40,(TODAY()-V49)/365*40))+IF(R49="Compliant",0,IF(R49="Pending Review",10,IF(R49="Non-Compliant",20,IF(R49="Exempt",5,10))))+IF(S49="Public",0,IF(S49="Internal",5,IF(S49="Confidential",10,IF(S49="Restricted",15,5))))+IF(F49="Cloud (SaaS API)",6,IF(F49="Private Cloud",5,IF(F49="Hybrid",7,IF(F49="On-Prem",8,IF(F49="Edge",10,5)))))+IF(K49="PASS",0,IF(K49="DEFERRED",10,IF(K49="NOT_RUN",12,IF(K49="FAIL",15,12)))),0))</f>
        <v/>
      </c>
      <c r="Y49" s="39" t="str">
        <f aca="false">IF(X49="","",IF(X49&gt;=70,"Critical",IF(X49&gt;=50,"High",IF(X49&gt;=25,"Medium","Low"))))</f>
        <v/>
      </c>
    </row>
    <row r="50" customFormat="false" ht="15" hidden="false" customHeight="false" outlineLevel="0" collapsed="false">
      <c r="A50" s="10"/>
      <c r="B50" s="40"/>
      <c r="C50" s="40"/>
      <c r="D50" s="40"/>
      <c r="E50" s="40"/>
      <c r="F50" s="40"/>
      <c r="G50" s="40"/>
      <c r="H50" s="40"/>
      <c r="I50" s="40"/>
      <c r="J50" s="41"/>
      <c r="K50" s="41"/>
      <c r="L50" s="41"/>
      <c r="M50" s="40"/>
      <c r="N50" s="42"/>
      <c r="O50" s="42"/>
      <c r="P50" s="42"/>
      <c r="Q50" s="40"/>
      <c r="R50" s="43"/>
      <c r="S50" s="41"/>
      <c r="T50" s="44"/>
      <c r="U50" s="40"/>
      <c r="V50" s="45"/>
      <c r="W50" s="37" t="str">
        <f aca="true">IF(OR(C50="",V50=""),"",TODAY()-V50)</f>
        <v/>
      </c>
      <c r="X50" s="38" t="str">
        <f aca="true">IF(C50="","",ROUND(IF(V50="",40,MIN(40,(TODAY()-V50)/365*40))+IF(R50="Compliant",0,IF(R50="Pending Review",10,IF(R50="Non-Compliant",20,IF(R50="Exempt",5,10))))+IF(S50="Public",0,IF(S50="Internal",5,IF(S50="Confidential",10,IF(S50="Restricted",15,5))))+IF(F50="Cloud (SaaS API)",6,IF(F50="Private Cloud",5,IF(F50="Hybrid",7,IF(F50="On-Prem",8,IF(F50="Edge",10,5)))))+IF(K50="PASS",0,IF(K50="DEFERRED",10,IF(K50="NOT_RUN",12,IF(K50="FAIL",15,12)))),0))</f>
        <v/>
      </c>
      <c r="Y50" s="39" t="str">
        <f aca="false">IF(X50="","",IF(X50&gt;=70,"Critical",IF(X50&gt;=50,"High",IF(X50&gt;=25,"Medium","Low"))))</f>
        <v/>
      </c>
    </row>
    <row r="51" customFormat="false" ht="15" hidden="false" customHeight="false" outlineLevel="0" collapsed="false">
      <c r="A51" s="10"/>
      <c r="B51" s="40"/>
      <c r="C51" s="40"/>
      <c r="D51" s="40"/>
      <c r="E51" s="40"/>
      <c r="F51" s="40"/>
      <c r="G51" s="40"/>
      <c r="H51" s="40"/>
      <c r="I51" s="40"/>
      <c r="J51" s="41"/>
      <c r="K51" s="41"/>
      <c r="L51" s="41"/>
      <c r="M51" s="40"/>
      <c r="N51" s="42"/>
      <c r="O51" s="42"/>
      <c r="P51" s="42"/>
      <c r="Q51" s="40"/>
      <c r="R51" s="43"/>
      <c r="S51" s="41"/>
      <c r="T51" s="44"/>
      <c r="U51" s="40"/>
      <c r="V51" s="45"/>
      <c r="W51" s="37" t="str">
        <f aca="true">IF(OR(C51="",V51=""),"",TODAY()-V51)</f>
        <v/>
      </c>
      <c r="X51" s="38" t="str">
        <f aca="true">IF(C51="","",ROUND(IF(V51="",40,MIN(40,(TODAY()-V51)/365*40))+IF(R51="Compliant",0,IF(R51="Pending Review",10,IF(R51="Non-Compliant",20,IF(R51="Exempt",5,10))))+IF(S51="Public",0,IF(S51="Internal",5,IF(S51="Confidential",10,IF(S51="Restricted",15,5))))+IF(F51="Cloud (SaaS API)",6,IF(F51="Private Cloud",5,IF(F51="Hybrid",7,IF(F51="On-Prem",8,IF(F51="Edge",10,5)))))+IF(K51="PASS",0,IF(K51="DEFERRED",10,IF(K51="NOT_RUN",12,IF(K51="FAIL",15,12)))),0))</f>
        <v/>
      </c>
      <c r="Y51" s="39" t="str">
        <f aca="false">IF(X51="","",IF(X51&gt;=70,"Critical",IF(X51&gt;=50,"High",IF(X51&gt;=25,"Medium","Low"))))</f>
        <v/>
      </c>
    </row>
    <row r="52" customFormat="false" ht="15" hidden="false" customHeight="false" outlineLevel="0" collapsed="false">
      <c r="A52" s="10"/>
      <c r="B52" s="40"/>
      <c r="C52" s="40"/>
      <c r="D52" s="40"/>
      <c r="E52" s="40"/>
      <c r="F52" s="40"/>
      <c r="G52" s="40"/>
      <c r="H52" s="40"/>
      <c r="I52" s="40"/>
      <c r="J52" s="41"/>
      <c r="K52" s="41"/>
      <c r="L52" s="41"/>
      <c r="M52" s="40"/>
      <c r="N52" s="42"/>
      <c r="O52" s="42"/>
      <c r="P52" s="42"/>
      <c r="Q52" s="40"/>
      <c r="R52" s="43"/>
      <c r="S52" s="41"/>
      <c r="T52" s="44"/>
      <c r="U52" s="40"/>
      <c r="V52" s="45"/>
      <c r="W52" s="37" t="str">
        <f aca="true">IF(OR(C52="",V52=""),"",TODAY()-V52)</f>
        <v/>
      </c>
      <c r="X52" s="38" t="str">
        <f aca="true">IF(C52="","",ROUND(IF(V52="",40,MIN(40,(TODAY()-V52)/365*40))+IF(R52="Compliant",0,IF(R52="Pending Review",10,IF(R52="Non-Compliant",20,IF(R52="Exempt",5,10))))+IF(S52="Public",0,IF(S52="Internal",5,IF(S52="Confidential",10,IF(S52="Restricted",15,5))))+IF(F52="Cloud (SaaS API)",6,IF(F52="Private Cloud",5,IF(F52="Hybrid",7,IF(F52="On-Prem",8,IF(F52="Edge",10,5)))))+IF(K52="PASS",0,IF(K52="DEFERRED",10,IF(K52="NOT_RUN",12,IF(K52="FAIL",15,12)))),0))</f>
        <v/>
      </c>
      <c r="Y52" s="39" t="str">
        <f aca="false">IF(X52="","",IF(X52&gt;=70,"Critical",IF(X52&gt;=50,"High",IF(X52&gt;=25,"Medium","Low"))))</f>
        <v/>
      </c>
    </row>
    <row r="53" customFormat="false" ht="15" hidden="false" customHeight="false" outlineLevel="0" collapsed="false">
      <c r="A53" s="10"/>
      <c r="B53" s="40"/>
      <c r="C53" s="40"/>
      <c r="D53" s="40"/>
      <c r="E53" s="40"/>
      <c r="F53" s="40"/>
      <c r="G53" s="40"/>
      <c r="H53" s="40"/>
      <c r="I53" s="40"/>
      <c r="J53" s="41"/>
      <c r="K53" s="41"/>
      <c r="L53" s="41"/>
      <c r="M53" s="40"/>
      <c r="N53" s="42"/>
      <c r="O53" s="42"/>
      <c r="P53" s="42"/>
      <c r="Q53" s="40"/>
      <c r="R53" s="43"/>
      <c r="S53" s="41"/>
      <c r="T53" s="44"/>
      <c r="U53" s="40"/>
      <c r="V53" s="45"/>
      <c r="W53" s="37" t="str">
        <f aca="true">IF(OR(C53="",V53=""),"",TODAY()-V53)</f>
        <v/>
      </c>
      <c r="X53" s="38" t="str">
        <f aca="true">IF(C53="","",ROUND(IF(V53="",40,MIN(40,(TODAY()-V53)/365*40))+IF(R53="Compliant",0,IF(R53="Pending Review",10,IF(R53="Non-Compliant",20,IF(R53="Exempt",5,10))))+IF(S53="Public",0,IF(S53="Internal",5,IF(S53="Confidential",10,IF(S53="Restricted",15,5))))+IF(F53="Cloud (SaaS API)",6,IF(F53="Private Cloud",5,IF(F53="Hybrid",7,IF(F53="On-Prem",8,IF(F53="Edge",10,5)))))+IF(K53="PASS",0,IF(K53="DEFERRED",10,IF(K53="NOT_RUN",12,IF(K53="FAIL",15,12)))),0))</f>
        <v/>
      </c>
      <c r="Y53" s="39" t="str">
        <f aca="false">IF(X53="","",IF(X53&gt;=70,"Critical",IF(X53&gt;=50,"High",IF(X53&gt;=25,"Medium","Low"))))</f>
        <v/>
      </c>
    </row>
    <row r="54" customFormat="false" ht="15" hidden="false" customHeight="false" outlineLevel="0" collapsed="false">
      <c r="A54" s="10"/>
      <c r="B54" s="40"/>
      <c r="C54" s="40"/>
      <c r="D54" s="40"/>
      <c r="E54" s="40"/>
      <c r="F54" s="40"/>
      <c r="G54" s="40"/>
      <c r="H54" s="40"/>
      <c r="I54" s="40"/>
      <c r="J54" s="41"/>
      <c r="K54" s="41"/>
      <c r="L54" s="41"/>
      <c r="M54" s="40"/>
      <c r="N54" s="42"/>
      <c r="O54" s="42"/>
      <c r="P54" s="42"/>
      <c r="Q54" s="40"/>
      <c r="R54" s="43"/>
      <c r="S54" s="41"/>
      <c r="T54" s="44"/>
      <c r="U54" s="40"/>
      <c r="V54" s="45"/>
      <c r="W54" s="37" t="str">
        <f aca="true">IF(OR(C54="",V54=""),"",TODAY()-V54)</f>
        <v/>
      </c>
      <c r="X54" s="38" t="str">
        <f aca="true">IF(C54="","",ROUND(IF(V54="",40,MIN(40,(TODAY()-V54)/365*40))+IF(R54="Compliant",0,IF(R54="Pending Review",10,IF(R54="Non-Compliant",20,IF(R54="Exempt",5,10))))+IF(S54="Public",0,IF(S54="Internal",5,IF(S54="Confidential",10,IF(S54="Restricted",15,5))))+IF(F54="Cloud (SaaS API)",6,IF(F54="Private Cloud",5,IF(F54="Hybrid",7,IF(F54="On-Prem",8,IF(F54="Edge",10,5)))))+IF(K54="PASS",0,IF(K54="DEFERRED",10,IF(K54="NOT_RUN",12,IF(K54="FAIL",15,12)))),0))</f>
        <v/>
      </c>
      <c r="Y54" s="39" t="str">
        <f aca="false">IF(X54="","",IF(X54&gt;=70,"Critical",IF(X54&gt;=50,"High",IF(X54&gt;=25,"Medium","Low"))))</f>
        <v/>
      </c>
    </row>
  </sheetData>
  <autoFilter ref="B4:Y54"/>
  <mergeCells count="1">
    <mergeCell ref="B2:Y2"/>
  </mergeCells>
  <conditionalFormatting sqref="W5:W54">
    <cfRule type="expression" priority="2" aboveAverage="0" equalAverage="0" bottom="0" percent="0" rank="0" text="" dxfId="20">
      <formula>AND(ISNUMBER(W5),W5&gt;365)</formula>
    </cfRule>
    <cfRule type="expression" priority="3" aboveAverage="0" equalAverage="0" bottom="0" percent="0" rank="0" text="" dxfId="21">
      <formula>AND(ISNUMBER(W5),W5&gt;=270,W5&lt;=365)</formula>
    </cfRule>
    <cfRule type="expression" priority="4" aboveAverage="0" equalAverage="0" bottom="0" percent="0" rank="0" text="" dxfId="22">
      <formula>AND(ISNUMBER(W5),W5&lt;270)</formula>
    </cfRule>
  </conditionalFormatting>
  <conditionalFormatting sqref="X5:X54">
    <cfRule type="colorScale" priority="5">
      <colorScale>
        <cfvo type="num" val="0"/>
        <cfvo type="num" val="45"/>
        <cfvo type="num" val="100"/>
        <color rgb="FF63BE7B"/>
        <color rgb="FFFFEB84"/>
        <color rgb="FFF8696B"/>
      </colorScale>
    </cfRule>
  </conditionalFormatting>
  <conditionalFormatting sqref="Y5:Y54">
    <cfRule type="cellIs" priority="6" operator="equal" aboveAverage="0" equalAverage="0" bottom="0" percent="0" rank="0" text="" dxfId="23">
      <formula>"Critical"</formula>
    </cfRule>
    <cfRule type="cellIs" priority="7" operator="equal" aboveAverage="0" equalAverage="0" bottom="0" percent="0" rank="0" text="" dxfId="24">
      <formula>"High"</formula>
    </cfRule>
    <cfRule type="cellIs" priority="8" operator="equal" aboveAverage="0" equalAverage="0" bottom="0" percent="0" rank="0" text="" dxfId="21">
      <formula>"Medium"</formula>
    </cfRule>
    <cfRule type="cellIs" priority="9" operator="equal" aboveAverage="0" equalAverage="0" bottom="0" percent="0" rank="0" text="" dxfId="22">
      <formula>"Low"</formula>
    </cfRule>
  </conditionalFormatting>
  <conditionalFormatting sqref="K5:K54">
    <cfRule type="cellIs" priority="10" operator="equal" aboveAverage="0" equalAverage="0" bottom="0" percent="0" rank="0" text="" dxfId="22">
      <formula>"PASS"</formula>
    </cfRule>
    <cfRule type="cellIs" priority="11" operator="equal" aboveAverage="0" equalAverage="0" bottom="0" percent="0" rank="0" text="" dxfId="25">
      <formula>"FAIL"</formula>
    </cfRule>
    <cfRule type="cellIs" priority="12" operator="equal" aboveAverage="0" equalAverage="0" bottom="0" percent="0" rank="0" text="" dxfId="21">
      <formula>"DEFERRED"</formula>
    </cfRule>
    <cfRule type="cellIs" priority="13" operator="equal" aboveAverage="0" equalAverage="0" bottom="0" percent="0" rank="0" text="" dxfId="26">
      <formula>"NOT_RUN"</formula>
    </cfRule>
  </conditionalFormatting>
  <conditionalFormatting sqref="J5:J54">
    <cfRule type="cellIs" priority="14" operator="equal" aboveAverage="0" equalAverage="0" bottom="0" percent="0" rank="0" text="" dxfId="27">
      <formula>"T3"</formula>
    </cfRule>
    <cfRule type="cellIs" priority="15" operator="equal" aboveAverage="0" equalAverage="0" bottom="0" percent="0" rank="0" text="" dxfId="28">
      <formula>"T2"</formula>
    </cfRule>
    <cfRule type="cellIs" priority="16" operator="equal" aboveAverage="0" equalAverage="0" bottom="0" percent="0" rank="0" text="" dxfId="21">
      <formula>"T1"</formula>
    </cfRule>
    <cfRule type="cellIs" priority="17" operator="equal" aboveAverage="0" equalAverage="0" bottom="0" percent="0" rank="0" text="" dxfId="25">
      <formula>"T0"</formula>
    </cfRule>
  </conditionalFormatting>
  <conditionalFormatting sqref="M5:M54">
    <cfRule type="expression" priority="18" aboveAverage="0" equalAverage="0" bottom="0" percent="0" rank="0" text="" dxfId="21">
      <formula>AND($C5&lt;&gt;"",M5="")</formula>
    </cfRule>
  </conditionalFormatting>
  <conditionalFormatting sqref="B5:Y54">
    <cfRule type="expression" priority="19" aboveAverage="0" equalAverage="0" bottom="0" percent="0" rank="0" text="" dxfId="26">
      <formula>OR($I5="Deprecated",$I5="Retired")</formula>
    </cfRule>
  </conditionalFormatting>
  <dataValidations count="9">
    <dataValidation allowBlank="true" errorStyle="stop" operator="between" showDropDown="false" showErrorMessage="false" showInputMessage="false" sqref="D5:D54" type="list">
      <formula1>VendorList</formula1>
      <formula2>0</formula2>
    </dataValidation>
    <dataValidation allowBlank="true" errorStyle="stop" operator="between" showDropDown="false" showErrorMessage="false" showInputMessage="false" sqref="F5:F54" type="list">
      <formula1>EnvList</formula1>
      <formula2>0</formula2>
    </dataValidation>
    <dataValidation allowBlank="true" errorStyle="stop" operator="between" showDropDown="false" showErrorMessage="false" showInputMessage="false" sqref="I5:I54" type="list">
      <formula1>StatusList</formula1>
      <formula2>0</formula2>
    </dataValidation>
    <dataValidation allowBlank="true" errorStyle="stop" operator="between" showDropDown="false" showErrorMessage="false" showInputMessage="false" sqref="G5:G54" type="list">
      <formula1>FunctionList</formula1>
      <formula2>0</formula2>
    </dataValidation>
    <dataValidation allowBlank="true" errorStyle="stop" operator="between" showDropDown="false" showErrorMessage="false" showInputMessage="false" sqref="J5:J54" type="list">
      <formula1>TrustTierList</formula1>
      <formula2>0</formula2>
    </dataValidation>
    <dataValidation allowBlank="true" errorStyle="stop" operator="between" showDropDown="false" showErrorMessage="false" showInputMessage="false" sqref="K5:K54" type="list">
      <formula1>GateStatusList</formula1>
      <formula2>0</formula2>
    </dataValidation>
    <dataValidation allowBlank="true" errorStyle="stop" operator="between" showDropDown="false" showErrorMessage="false" showInputMessage="false" sqref="L5:L54" type="list">
      <formula1>NISTRMFList</formula1>
      <formula2>0</formula2>
    </dataValidation>
    <dataValidation allowBlank="true" errorStyle="stop" operator="between" showDropDown="false" showErrorMessage="false" showInputMessage="false" sqref="R5:R54" type="list">
      <formula1>ComplianceList</formula1>
      <formula2>0</formula2>
    </dataValidation>
    <dataValidation allowBlank="true" errorStyle="stop" operator="between" showDropDown="false" showErrorMessage="false" showInputMessage="false" sqref="S5:S54" type="list">
      <formula1>SensitivityList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8"/>
    <col collapsed="false" customWidth="true" hidden="false" outlineLevel="0" max="3" min="3" style="1" width="14"/>
    <col collapsed="false" customWidth="true" hidden="false" outlineLevel="0" max="4" min="4" style="1" width="70"/>
  </cols>
  <sheetData>
    <row r="1" customFormat="false" ht="15" hidden="false" customHeight="false" outlineLevel="0" collapsed="false">
      <c r="A1" s="10"/>
      <c r="B1" s="10"/>
      <c r="C1" s="10"/>
      <c r="D1" s="10"/>
    </row>
    <row r="2" customFormat="false" ht="31.5" hidden="false" customHeight="true" outlineLevel="0" collapsed="false">
      <c r="A2" s="10"/>
      <c r="B2" s="2" t="s">
        <v>276</v>
      </c>
      <c r="C2" s="2"/>
      <c r="D2" s="2"/>
    </row>
    <row r="3" customFormat="false" ht="23.85" hidden="false" customHeight="true" outlineLevel="0" collapsed="false">
      <c r="A3" s="10"/>
      <c r="B3" s="3" t="s">
        <v>277</v>
      </c>
      <c r="C3" s="3"/>
      <c r="D3" s="3"/>
    </row>
    <row r="4" customFormat="false" ht="15" hidden="false" customHeight="false" outlineLevel="0" collapsed="false">
      <c r="A4" s="10"/>
      <c r="B4" s="10"/>
      <c r="C4" s="10"/>
      <c r="D4" s="10"/>
    </row>
    <row r="5" customFormat="false" ht="24" hidden="false" customHeight="true" outlineLevel="0" collapsed="false">
      <c r="A5" s="10"/>
      <c r="B5" s="21" t="s">
        <v>278</v>
      </c>
      <c r="C5" s="21" t="s">
        <v>279</v>
      </c>
      <c r="D5" s="21" t="s">
        <v>280</v>
      </c>
    </row>
    <row r="6" customFormat="false" ht="36" hidden="false" customHeight="true" outlineLevel="0" collapsed="false">
      <c r="A6" s="10"/>
      <c r="B6" s="46" t="s">
        <v>281</v>
      </c>
      <c r="C6" s="32" t="n">
        <v>40</v>
      </c>
      <c r="D6" s="47" t="s">
        <v>282</v>
      </c>
    </row>
    <row r="7" customFormat="false" ht="36" hidden="false" customHeight="true" outlineLevel="0" collapsed="false">
      <c r="A7" s="10"/>
      <c r="B7" s="46" t="s">
        <v>283</v>
      </c>
      <c r="C7" s="32" t="n">
        <v>15</v>
      </c>
      <c r="D7" s="47" t="s">
        <v>284</v>
      </c>
    </row>
    <row r="8" customFormat="false" ht="36" hidden="false" customHeight="true" outlineLevel="0" collapsed="false">
      <c r="A8" s="10"/>
      <c r="B8" s="46" t="s">
        <v>54</v>
      </c>
      <c r="C8" s="32" t="n">
        <v>20</v>
      </c>
      <c r="D8" s="47" t="s">
        <v>285</v>
      </c>
    </row>
    <row r="9" customFormat="false" ht="36" hidden="false" customHeight="true" outlineLevel="0" collapsed="false">
      <c r="A9" s="10"/>
      <c r="B9" s="46" t="s">
        <v>56</v>
      </c>
      <c r="C9" s="32" t="n">
        <v>15</v>
      </c>
      <c r="D9" s="47" t="s">
        <v>286</v>
      </c>
    </row>
    <row r="10" customFormat="false" ht="36" hidden="false" customHeight="true" outlineLevel="0" collapsed="false">
      <c r="A10" s="10"/>
      <c r="B10" s="46" t="s">
        <v>36</v>
      </c>
      <c r="C10" s="32" t="n">
        <v>10</v>
      </c>
      <c r="D10" s="47" t="s">
        <v>287</v>
      </c>
    </row>
    <row r="11" customFormat="false" ht="15" hidden="false" customHeight="false" outlineLevel="0" collapsed="false">
      <c r="A11" s="10"/>
      <c r="B11" s="48" t="s">
        <v>288</v>
      </c>
      <c r="C11" s="48" t="n">
        <f aca="false">SUM(C6:C10)</f>
        <v>100</v>
      </c>
      <c r="D11" s="48" t="s">
        <v>289</v>
      </c>
    </row>
    <row r="12" customFormat="false" ht="15" hidden="false" customHeight="false" outlineLevel="0" collapsed="false">
      <c r="A12" s="10"/>
      <c r="B12" s="10"/>
      <c r="C12" s="10"/>
      <c r="D12" s="10"/>
    </row>
    <row r="13" customFormat="false" ht="15" hidden="false" customHeight="false" outlineLevel="0" collapsed="false">
      <c r="A13" s="10"/>
      <c r="B13" s="49" t="s">
        <v>290</v>
      </c>
      <c r="C13" s="49"/>
      <c r="D13" s="49"/>
    </row>
    <row r="14" customFormat="false" ht="28.35" hidden="false" customHeight="false" outlineLevel="0" collapsed="false">
      <c r="A14" s="10"/>
      <c r="B14" s="21" t="s">
        <v>291</v>
      </c>
      <c r="C14" s="21" t="s">
        <v>292</v>
      </c>
      <c r="D14" s="21" t="s">
        <v>293</v>
      </c>
    </row>
    <row r="15" customFormat="false" ht="36" hidden="false" customHeight="true" outlineLevel="0" collapsed="false">
      <c r="A15" s="10"/>
      <c r="B15" s="28" t="s">
        <v>132</v>
      </c>
      <c r="C15" s="47" t="s">
        <v>294</v>
      </c>
      <c r="D15" s="47" t="s">
        <v>295</v>
      </c>
    </row>
    <row r="16" customFormat="false" ht="36" hidden="false" customHeight="true" outlineLevel="0" collapsed="false">
      <c r="A16" s="10"/>
      <c r="B16" s="27" t="s">
        <v>130</v>
      </c>
      <c r="C16" s="47" t="s">
        <v>296</v>
      </c>
      <c r="D16" s="47" t="s">
        <v>297</v>
      </c>
    </row>
    <row r="17" customFormat="false" ht="36" hidden="false" customHeight="true" outlineLevel="0" collapsed="false">
      <c r="A17" s="10"/>
      <c r="B17" s="25" t="s">
        <v>128</v>
      </c>
      <c r="C17" s="47" t="s">
        <v>298</v>
      </c>
      <c r="D17" s="47" t="s">
        <v>299</v>
      </c>
    </row>
    <row r="18" customFormat="false" ht="36" hidden="false" customHeight="true" outlineLevel="0" collapsed="false">
      <c r="B18" s="21" t="s">
        <v>126</v>
      </c>
      <c r="C18" s="47" t="s">
        <v>300</v>
      </c>
      <c r="D18" s="47" t="s">
        <v>301</v>
      </c>
    </row>
    <row r="20" customFormat="false" ht="15" hidden="false" customHeight="false" outlineLevel="0" collapsed="false">
      <c r="B20" s="49" t="s">
        <v>302</v>
      </c>
      <c r="C20" s="49"/>
      <c r="D20" s="49"/>
    </row>
    <row r="21" customFormat="false" ht="15" hidden="false" customHeight="false" outlineLevel="0" collapsed="false">
      <c r="B21" s="21" t="s">
        <v>291</v>
      </c>
      <c r="C21" s="21" t="s">
        <v>303</v>
      </c>
      <c r="D21" s="21" t="s">
        <v>304</v>
      </c>
    </row>
    <row r="22" customFormat="false" ht="21.75" hidden="false" customHeight="true" outlineLevel="0" collapsed="false">
      <c r="B22" s="29" t="s">
        <v>133</v>
      </c>
      <c r="C22" s="32" t="s">
        <v>305</v>
      </c>
      <c r="D22" s="30" t="s">
        <v>306</v>
      </c>
    </row>
    <row r="23" customFormat="false" ht="21.75" hidden="false" customHeight="true" outlineLevel="0" collapsed="false">
      <c r="B23" s="27" t="s">
        <v>131</v>
      </c>
      <c r="C23" s="32" t="s">
        <v>307</v>
      </c>
      <c r="D23" s="30" t="s">
        <v>308</v>
      </c>
    </row>
    <row r="24" customFormat="false" ht="21.75" hidden="false" customHeight="true" outlineLevel="0" collapsed="false">
      <c r="B24" s="26" t="s">
        <v>129</v>
      </c>
      <c r="C24" s="32" t="s">
        <v>309</v>
      </c>
      <c r="D24" s="30" t="s">
        <v>310</v>
      </c>
    </row>
    <row r="25" customFormat="false" ht="21.75" hidden="false" customHeight="true" outlineLevel="0" collapsed="false">
      <c r="B25" s="24" t="s">
        <v>127</v>
      </c>
      <c r="C25" s="32" t="s">
        <v>311</v>
      </c>
      <c r="D25" s="30" t="s">
        <v>312</v>
      </c>
    </row>
  </sheetData>
  <mergeCells count="4">
    <mergeCell ref="B2:D2"/>
    <mergeCell ref="B3:D3"/>
    <mergeCell ref="B13:D13"/>
    <mergeCell ref="B20:D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8"/>
    <col collapsed="false" customWidth="true" hidden="false" outlineLevel="0" max="3" min="3" style="0" width="22"/>
    <col collapsed="false" customWidth="true" hidden="false" outlineLevel="0" max="4" min="4" style="0" width="55"/>
    <col collapsed="false" customWidth="true" hidden="false" outlineLevel="0" max="5" min="5" style="0" width="38"/>
  </cols>
  <sheetData>
    <row r="2" customFormat="false" ht="30" hidden="false" customHeight="true" outlineLevel="0" collapsed="false">
      <c r="B2" s="2" t="s">
        <v>313</v>
      </c>
      <c r="C2" s="2"/>
      <c r="D2" s="2"/>
      <c r="E2" s="2"/>
    </row>
    <row r="3" customFormat="false" ht="15" hidden="false" customHeight="true" outlineLevel="0" collapsed="false">
      <c r="B3" s="3" t="s">
        <v>314</v>
      </c>
      <c r="C3" s="3"/>
      <c r="D3" s="3"/>
      <c r="E3" s="3"/>
    </row>
    <row r="5" customFormat="false" ht="25.5" hidden="false" customHeight="true" outlineLevel="0" collapsed="false">
      <c r="B5" s="21" t="s">
        <v>315</v>
      </c>
      <c r="C5" s="21" t="s">
        <v>316</v>
      </c>
      <c r="D5" s="21" t="s">
        <v>317</v>
      </c>
      <c r="E5" s="21" t="s">
        <v>318</v>
      </c>
    </row>
    <row r="6" customFormat="false" ht="49.5" hidden="false" customHeight="true" outlineLevel="0" collapsed="false">
      <c r="B6" s="50" t="s">
        <v>319</v>
      </c>
      <c r="C6" s="47" t="s">
        <v>320</v>
      </c>
      <c r="D6" s="47" t="s">
        <v>321</v>
      </c>
      <c r="E6" s="51" t="s">
        <v>88</v>
      </c>
    </row>
    <row r="7" customFormat="false" ht="49.5" hidden="false" customHeight="true" outlineLevel="0" collapsed="false">
      <c r="B7" s="50" t="s">
        <v>322</v>
      </c>
      <c r="C7" s="47" t="s">
        <v>323</v>
      </c>
      <c r="D7" s="47" t="s">
        <v>324</v>
      </c>
      <c r="E7" s="51" t="s">
        <v>90</v>
      </c>
    </row>
    <row r="8" customFormat="false" ht="49.5" hidden="false" customHeight="true" outlineLevel="0" collapsed="false">
      <c r="B8" s="50" t="s">
        <v>325</v>
      </c>
      <c r="C8" s="47" t="s">
        <v>320</v>
      </c>
      <c r="D8" s="47" t="s">
        <v>326</v>
      </c>
      <c r="E8" s="51" t="s">
        <v>92</v>
      </c>
    </row>
    <row r="9" customFormat="false" ht="49.5" hidden="false" customHeight="true" outlineLevel="0" collapsed="false">
      <c r="B9" s="50" t="s">
        <v>327</v>
      </c>
      <c r="C9" s="47" t="s">
        <v>328</v>
      </c>
      <c r="D9" s="47" t="s">
        <v>329</v>
      </c>
      <c r="E9" s="51" t="s">
        <v>94</v>
      </c>
    </row>
    <row r="10" customFormat="false" ht="49.5" hidden="false" customHeight="true" outlineLevel="0" collapsed="false">
      <c r="B10" s="50" t="s">
        <v>330</v>
      </c>
      <c r="C10" s="47" t="s">
        <v>331</v>
      </c>
      <c r="D10" s="47" t="s">
        <v>332</v>
      </c>
      <c r="E10" s="51" t="s">
        <v>96</v>
      </c>
    </row>
    <row r="11" customFormat="false" ht="49.5" hidden="false" customHeight="true" outlineLevel="0" collapsed="false">
      <c r="B11" s="50" t="s">
        <v>99</v>
      </c>
      <c r="C11" s="47" t="s">
        <v>328</v>
      </c>
      <c r="D11" s="47" t="s">
        <v>333</v>
      </c>
      <c r="E11" s="51" t="s">
        <v>100</v>
      </c>
    </row>
    <row r="12" customFormat="false" ht="49.5" hidden="false" customHeight="true" outlineLevel="0" collapsed="false">
      <c r="B12" s="50" t="s">
        <v>334</v>
      </c>
      <c r="C12" s="47" t="s">
        <v>335</v>
      </c>
      <c r="D12" s="47" t="s">
        <v>336</v>
      </c>
      <c r="E12" s="51" t="s">
        <v>98</v>
      </c>
    </row>
    <row r="13" customFormat="false" ht="49.5" hidden="false" customHeight="true" outlineLevel="0" collapsed="false">
      <c r="B13" s="50" t="s">
        <v>337</v>
      </c>
      <c r="C13" s="47" t="s">
        <v>338</v>
      </c>
      <c r="D13" s="47" t="s">
        <v>339</v>
      </c>
      <c r="E13" s="51" t="s">
        <v>102</v>
      </c>
    </row>
    <row r="14" customFormat="false" ht="49.5" hidden="false" customHeight="true" outlineLevel="0" collapsed="false">
      <c r="B14" s="50" t="s">
        <v>340</v>
      </c>
      <c r="C14" s="47" t="s">
        <v>338</v>
      </c>
      <c r="D14" s="47" t="s">
        <v>341</v>
      </c>
      <c r="E14" s="51" t="s">
        <v>342</v>
      </c>
    </row>
    <row r="15" customFormat="false" ht="49.5" hidden="false" customHeight="true" outlineLevel="0" collapsed="false">
      <c r="B15" s="50" t="s">
        <v>343</v>
      </c>
      <c r="C15" s="47" t="s">
        <v>338</v>
      </c>
      <c r="D15" s="47" t="s">
        <v>344</v>
      </c>
      <c r="E15" s="51" t="s">
        <v>345</v>
      </c>
    </row>
    <row r="16" customFormat="false" ht="49.5" hidden="false" customHeight="true" outlineLevel="0" collapsed="false">
      <c r="B16" s="50" t="s">
        <v>346</v>
      </c>
      <c r="C16" s="47" t="s">
        <v>347</v>
      </c>
      <c r="D16" s="47" t="s">
        <v>348</v>
      </c>
      <c r="E16" s="51" t="s">
        <v>349</v>
      </c>
    </row>
    <row r="18" customFormat="false" ht="21.75" hidden="false" customHeight="true" outlineLevel="0" collapsed="false">
      <c r="B18" s="4" t="s">
        <v>350</v>
      </c>
      <c r="C18" s="4"/>
      <c r="D18" s="4"/>
      <c r="E18" s="4"/>
    </row>
    <row r="19" customFormat="false" ht="15" hidden="false" customHeight="true" outlineLevel="0" collapsed="false">
      <c r="B19" s="52" t="s">
        <v>351</v>
      </c>
      <c r="C19" s="53" t="s">
        <v>86</v>
      </c>
      <c r="D19" s="53"/>
      <c r="E19" s="53"/>
    </row>
    <row r="20" customFormat="false" ht="15" hidden="false" customHeight="false" outlineLevel="0" collapsed="false">
      <c r="B20" s="52" t="s">
        <v>2</v>
      </c>
      <c r="C20" s="11" t="s">
        <v>352</v>
      </c>
      <c r="D20" s="11"/>
      <c r="E20" s="11"/>
    </row>
  </sheetData>
  <mergeCells count="5">
    <mergeCell ref="B2:E2"/>
    <mergeCell ref="B3:E3"/>
    <mergeCell ref="B18:E18"/>
    <mergeCell ref="C19:E19"/>
    <mergeCell ref="C20:E20"/>
  </mergeCells>
  <hyperlinks>
    <hyperlink ref="E6" r:id="rId1" display="https://github.com/bobrapp/aigovops-foundation-os"/>
    <hyperlink ref="E7" r:id="rId2" display="https://github.com/bobrapp/aigovops-Replay"/>
    <hyperlink ref="E8" r:id="rId3" display="https://github.com/bobrapp/aigovops-prompt-studio"/>
    <hyperlink ref="E9" r:id="rId4" display="https://github.com/bobrapp/webhook-sentinel"/>
    <hyperlink ref="E10" r:id="rId5" display="https://github.com/bobrapp/openclaw-installer"/>
    <hyperlink ref="E11" r:id="rId6" display="https://github.com/bobrapp/ai-bob-external-to-internal-code-clean-room-agent"/>
    <hyperlink ref="E12" r:id="rId7" display="https://github.com/bobrapp/justice-league-v3-model-agnostic"/>
    <hyperlink ref="E13" r:id="rId8" display="https://github.com/bobrapp/aiupdates"/>
    <hyperlink ref="E14" r:id="rId9" display="https://github.com/bobrapp/aigovops-global-inclusion-matchmaker"/>
    <hyperlink ref="E15" r:id="rId10" display="https://github.com/bobrapp/ai-govops-hub"/>
    <hyperlink ref="E16" r:id="rId11" display="https://github.com/bobrapp/ai-risk-navigator-flow"/>
    <hyperlink ref="C19" r:id="rId12" display="https://www.aigovopsfoundation.org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2"/>
    <col collapsed="false" customWidth="true" hidden="false" outlineLevel="0" max="4" min="3" style="1" width="14"/>
    <col collapsed="false" customWidth="true" hidden="false" outlineLevel="0" max="6" min="5" style="1" width="22"/>
    <col collapsed="false" customWidth="true" hidden="false" outlineLevel="0" max="7" min="7" style="1" width="50"/>
    <col collapsed="false" customWidth="true" hidden="false" outlineLevel="0" max="8" min="8" style="1" width="22"/>
  </cols>
  <sheetData>
    <row r="2" customFormat="false" ht="30" hidden="false" customHeight="true" outlineLevel="0" collapsed="false">
      <c r="B2" s="2" t="s">
        <v>353</v>
      </c>
      <c r="C2" s="2"/>
      <c r="D2" s="2"/>
      <c r="E2" s="2"/>
      <c r="F2" s="2"/>
      <c r="G2" s="2"/>
      <c r="H2" s="2"/>
    </row>
    <row r="4" customFormat="false" ht="25.5" hidden="false" customHeight="true" outlineLevel="0" collapsed="false">
      <c r="B4" s="21" t="s">
        <v>354</v>
      </c>
      <c r="C4" s="21" t="s">
        <v>355</v>
      </c>
      <c r="D4" s="21" t="s">
        <v>28</v>
      </c>
      <c r="E4" s="21" t="s">
        <v>356</v>
      </c>
      <c r="F4" s="21" t="s">
        <v>357</v>
      </c>
      <c r="G4" s="21" t="s">
        <v>358</v>
      </c>
      <c r="H4" s="21" t="s">
        <v>359</v>
      </c>
    </row>
    <row r="5" customFormat="false" ht="27.75" hidden="false" customHeight="true" outlineLevel="0" collapsed="false">
      <c r="B5" s="32" t="s">
        <v>360</v>
      </c>
      <c r="C5" s="35" t="s">
        <v>264</v>
      </c>
      <c r="D5" s="32" t="s">
        <v>254</v>
      </c>
      <c r="E5" s="30" t="s">
        <v>361</v>
      </c>
      <c r="F5" s="30" t="s">
        <v>262</v>
      </c>
      <c r="G5" s="30" t="s">
        <v>362</v>
      </c>
      <c r="H5" s="32" t="s">
        <v>363</v>
      </c>
    </row>
    <row r="6" customFormat="false" ht="27.75" hidden="false" customHeight="true" outlineLevel="0" collapsed="false">
      <c r="B6" s="32" t="s">
        <v>364</v>
      </c>
      <c r="C6" s="35" t="s">
        <v>190</v>
      </c>
      <c r="D6" s="32" t="s">
        <v>178</v>
      </c>
      <c r="E6" s="30" t="s">
        <v>365</v>
      </c>
      <c r="F6" s="30" t="s">
        <v>188</v>
      </c>
      <c r="G6" s="30" t="s">
        <v>366</v>
      </c>
      <c r="H6" s="32" t="s">
        <v>367</v>
      </c>
    </row>
    <row r="7" customFormat="false" ht="27.75" hidden="false" customHeight="true" outlineLevel="0" collapsed="false">
      <c r="B7" s="32" t="s">
        <v>368</v>
      </c>
      <c r="C7" s="35" t="s">
        <v>253</v>
      </c>
      <c r="D7" s="32" t="s">
        <v>246</v>
      </c>
      <c r="E7" s="30" t="s">
        <v>369</v>
      </c>
      <c r="F7" s="30" t="s">
        <v>188</v>
      </c>
      <c r="G7" s="30" t="s">
        <v>370</v>
      </c>
      <c r="H7" s="32" t="s">
        <v>371</v>
      </c>
    </row>
    <row r="8" customFormat="false" ht="27.75" hidden="false" customHeight="true" outlineLevel="0" collapsed="false">
      <c r="B8" s="32" t="s">
        <v>372</v>
      </c>
      <c r="C8" s="35" t="s">
        <v>275</v>
      </c>
      <c r="D8" s="32" t="s">
        <v>265</v>
      </c>
      <c r="E8" s="30" t="s">
        <v>365</v>
      </c>
      <c r="F8" s="30" t="s">
        <v>273</v>
      </c>
      <c r="G8" s="30" t="s">
        <v>373</v>
      </c>
      <c r="H8" s="32" t="s">
        <v>374</v>
      </c>
    </row>
    <row r="9" customFormat="false" ht="27.75" hidden="false" customHeight="true" outlineLevel="0" collapsed="false">
      <c r="B9" s="32" t="s">
        <v>375</v>
      </c>
      <c r="C9" s="35" t="s">
        <v>376</v>
      </c>
      <c r="D9" s="32" t="s">
        <v>234</v>
      </c>
      <c r="E9" s="30" t="s">
        <v>111</v>
      </c>
      <c r="F9" s="30" t="s">
        <v>243</v>
      </c>
      <c r="G9" s="30" t="s">
        <v>377</v>
      </c>
      <c r="H9" s="32" t="s">
        <v>378</v>
      </c>
    </row>
    <row r="10" customFormat="false" ht="15" hidden="false" customHeight="true" outlineLevel="0" collapsed="false">
      <c r="B10" s="54"/>
      <c r="C10" s="54"/>
      <c r="D10" s="54"/>
      <c r="E10" s="54"/>
      <c r="F10" s="54"/>
      <c r="G10" s="54"/>
      <c r="H10" s="54"/>
    </row>
    <row r="11" customFormat="false" ht="15" hidden="false" customHeight="true" outlineLevel="0" collapsed="false">
      <c r="B11" s="54"/>
      <c r="C11" s="54"/>
      <c r="D11" s="54"/>
      <c r="E11" s="54"/>
      <c r="F11" s="54"/>
      <c r="G11" s="54"/>
      <c r="H11" s="54"/>
    </row>
    <row r="12" customFormat="false" ht="15" hidden="false" customHeight="true" outlineLevel="0" collapsed="false">
      <c r="B12" s="54"/>
      <c r="C12" s="54"/>
      <c r="D12" s="54"/>
      <c r="E12" s="54"/>
      <c r="F12" s="54"/>
      <c r="G12" s="54"/>
      <c r="H12" s="54"/>
    </row>
    <row r="13" customFormat="false" ht="15" hidden="false" customHeight="true" outlineLevel="0" collapsed="false">
      <c r="B13" s="54"/>
      <c r="C13" s="54"/>
      <c r="D13" s="54"/>
      <c r="E13" s="54"/>
      <c r="F13" s="54"/>
      <c r="G13" s="54"/>
      <c r="H13" s="54"/>
    </row>
    <row r="14" customFormat="false" ht="15" hidden="false" customHeight="true" outlineLevel="0" collapsed="false">
      <c r="B14" s="54"/>
      <c r="C14" s="54"/>
      <c r="D14" s="54"/>
      <c r="E14" s="54"/>
      <c r="F14" s="54"/>
      <c r="G14" s="54"/>
      <c r="H14" s="54"/>
    </row>
    <row r="15" customFormat="false" ht="15" hidden="false" customHeight="true" outlineLevel="0" collapsed="false">
      <c r="B15" s="54"/>
      <c r="C15" s="54"/>
      <c r="D15" s="54"/>
      <c r="E15" s="54"/>
      <c r="F15" s="54"/>
      <c r="G15" s="54"/>
      <c r="H15" s="54"/>
    </row>
    <row r="16" customFormat="false" ht="15" hidden="false" customHeight="true" outlineLevel="0" collapsed="false">
      <c r="B16" s="54"/>
      <c r="C16" s="54"/>
      <c r="D16" s="54"/>
      <c r="E16" s="54"/>
      <c r="F16" s="54"/>
      <c r="G16" s="54"/>
      <c r="H16" s="54"/>
    </row>
    <row r="17" customFormat="false" ht="15" hidden="false" customHeight="true" outlineLevel="0" collapsed="false">
      <c r="B17" s="54"/>
      <c r="C17" s="54"/>
      <c r="D17" s="54"/>
      <c r="E17" s="54"/>
      <c r="F17" s="54"/>
      <c r="G17" s="54"/>
      <c r="H17" s="54"/>
    </row>
    <row r="18" customFormat="false" ht="15" hidden="false" customHeight="true" outlineLevel="0" collapsed="false">
      <c r="B18" s="54"/>
      <c r="C18" s="54"/>
      <c r="D18" s="54"/>
      <c r="E18" s="54"/>
      <c r="F18" s="54"/>
      <c r="G18" s="54"/>
      <c r="H18" s="54"/>
    </row>
    <row r="19" customFormat="false" ht="15" hidden="false" customHeight="true" outlineLevel="0" collapsed="false">
      <c r="B19" s="54"/>
      <c r="C19" s="54"/>
      <c r="D19" s="54"/>
      <c r="E19" s="54"/>
      <c r="F19" s="54"/>
      <c r="G19" s="54"/>
      <c r="H19" s="54"/>
    </row>
    <row r="20" customFormat="false" ht="15" hidden="false" customHeight="true" outlineLevel="0" collapsed="false">
      <c r="B20" s="54"/>
      <c r="C20" s="54"/>
      <c r="D20" s="54"/>
      <c r="E20" s="54"/>
      <c r="F20" s="54"/>
      <c r="G20" s="54"/>
      <c r="H20" s="54"/>
    </row>
    <row r="21" customFormat="false" ht="15" hidden="false" customHeight="true" outlineLevel="0" collapsed="false">
      <c r="B21" s="54"/>
      <c r="C21" s="54"/>
      <c r="D21" s="54"/>
      <c r="E21" s="54"/>
      <c r="F21" s="54"/>
      <c r="G21" s="54"/>
      <c r="H21" s="54"/>
    </row>
    <row r="22" customFormat="false" ht="15" hidden="false" customHeight="true" outlineLevel="0" collapsed="false">
      <c r="B22" s="54"/>
      <c r="C22" s="54"/>
      <c r="D22" s="54"/>
      <c r="E22" s="54"/>
      <c r="F22" s="54"/>
      <c r="G22" s="54"/>
      <c r="H22" s="54"/>
    </row>
    <row r="23" customFormat="false" ht="15" hidden="false" customHeight="true" outlineLevel="0" collapsed="false">
      <c r="B23" s="54"/>
      <c r="C23" s="54"/>
      <c r="D23" s="54"/>
      <c r="E23" s="54"/>
      <c r="F23" s="54"/>
      <c r="G23" s="54"/>
      <c r="H23" s="54"/>
    </row>
    <row r="24" customFormat="false" ht="15" hidden="false" customHeight="true" outlineLevel="0" collapsed="false">
      <c r="B24" s="54"/>
      <c r="C24" s="54"/>
      <c r="D24" s="54"/>
      <c r="E24" s="54"/>
      <c r="F24" s="54"/>
      <c r="G24" s="54"/>
      <c r="H24" s="54"/>
    </row>
    <row r="25" customFormat="false" ht="15" hidden="false" customHeight="true" outlineLevel="0" collapsed="false">
      <c r="B25" s="54"/>
      <c r="C25" s="54"/>
      <c r="D25" s="54"/>
      <c r="E25" s="54"/>
      <c r="F25" s="54"/>
      <c r="G25" s="54"/>
      <c r="H25" s="54"/>
    </row>
    <row r="26" customFormat="false" ht="15" hidden="false" customHeight="true" outlineLevel="0" collapsed="false">
      <c r="B26" s="54"/>
      <c r="C26" s="54"/>
      <c r="D26" s="54"/>
      <c r="E26" s="54"/>
      <c r="F26" s="54"/>
      <c r="G26" s="54"/>
      <c r="H26" s="54"/>
    </row>
    <row r="27" customFormat="false" ht="15" hidden="false" customHeight="true" outlineLevel="0" collapsed="false">
      <c r="B27" s="54"/>
      <c r="C27" s="54"/>
      <c r="D27" s="54"/>
      <c r="E27" s="54"/>
      <c r="F27" s="54"/>
      <c r="G27" s="54"/>
      <c r="H27" s="54"/>
    </row>
    <row r="28" customFormat="false" ht="15" hidden="false" customHeight="true" outlineLevel="0" collapsed="false">
      <c r="B28" s="54"/>
      <c r="C28" s="54"/>
      <c r="D28" s="54"/>
      <c r="E28" s="54"/>
      <c r="F28" s="54"/>
      <c r="G28" s="54"/>
      <c r="H28" s="54"/>
    </row>
    <row r="29" customFormat="false" ht="15" hidden="false" customHeight="true" outlineLevel="0" collapsed="false">
      <c r="B29" s="54"/>
      <c r="C29" s="54"/>
      <c r="D29" s="54"/>
      <c r="E29" s="54"/>
      <c r="F29" s="54"/>
      <c r="G29" s="54"/>
      <c r="H29" s="54"/>
    </row>
    <row r="30" customFormat="false" ht="15" hidden="false" customHeight="true" outlineLevel="0" collapsed="false">
      <c r="B30" s="54"/>
      <c r="C30" s="54"/>
      <c r="D30" s="54"/>
      <c r="E30" s="54"/>
      <c r="F30" s="54"/>
      <c r="G30" s="54"/>
      <c r="H30" s="54"/>
    </row>
    <row r="31" customFormat="false" ht="15" hidden="false" customHeight="true" outlineLevel="0" collapsed="false">
      <c r="B31" s="54"/>
      <c r="C31" s="54"/>
      <c r="D31" s="54"/>
      <c r="E31" s="54"/>
      <c r="F31" s="54"/>
      <c r="G31" s="54"/>
      <c r="H31" s="54"/>
    </row>
    <row r="32" customFormat="false" ht="15" hidden="false" customHeight="true" outlineLevel="0" collapsed="false">
      <c r="B32" s="54"/>
      <c r="C32" s="54"/>
      <c r="D32" s="54"/>
      <c r="E32" s="54"/>
      <c r="F32" s="54"/>
      <c r="G32" s="54"/>
      <c r="H32" s="54"/>
    </row>
    <row r="33" customFormat="false" ht="15" hidden="false" customHeight="true" outlineLevel="0" collapsed="false">
      <c r="B33" s="54"/>
      <c r="C33" s="54"/>
      <c r="D33" s="54"/>
      <c r="E33" s="54"/>
      <c r="F33" s="54"/>
      <c r="G33" s="54"/>
      <c r="H33" s="54"/>
    </row>
    <row r="34" customFormat="false" ht="15" hidden="false" customHeight="true" outlineLevel="0" collapsed="false">
      <c r="B34" s="54"/>
      <c r="C34" s="54"/>
      <c r="D34" s="54"/>
      <c r="E34" s="54"/>
      <c r="F34" s="54"/>
      <c r="G34" s="54"/>
      <c r="H34" s="54"/>
    </row>
    <row r="35" customFormat="false" ht="15" hidden="false" customHeight="true" outlineLevel="0" collapsed="false">
      <c r="B35" s="54"/>
      <c r="C35" s="54"/>
      <c r="D35" s="54"/>
      <c r="E35" s="54"/>
      <c r="F35" s="54"/>
      <c r="G35" s="54"/>
      <c r="H35" s="54"/>
    </row>
    <row r="36" customFormat="false" ht="15" hidden="false" customHeight="true" outlineLevel="0" collapsed="false">
      <c r="B36" s="54"/>
      <c r="C36" s="54"/>
      <c r="D36" s="54"/>
      <c r="E36" s="54"/>
      <c r="F36" s="54"/>
      <c r="G36" s="54"/>
      <c r="H36" s="54"/>
    </row>
    <row r="37" customFormat="false" ht="15" hidden="false" customHeight="true" outlineLevel="0" collapsed="false">
      <c r="B37" s="54"/>
      <c r="C37" s="54"/>
      <c r="D37" s="54"/>
      <c r="E37" s="54"/>
      <c r="F37" s="54"/>
      <c r="G37" s="54"/>
      <c r="H37" s="54"/>
    </row>
    <row r="38" customFormat="false" ht="15" hidden="false" customHeight="true" outlineLevel="0" collapsed="false">
      <c r="B38" s="54"/>
      <c r="C38" s="54"/>
      <c r="D38" s="54"/>
      <c r="E38" s="54"/>
      <c r="F38" s="54"/>
      <c r="G38" s="54"/>
      <c r="H38" s="54"/>
    </row>
    <row r="39" customFormat="false" ht="15" hidden="false" customHeight="true" outlineLevel="0" collapsed="false">
      <c r="B39" s="54"/>
      <c r="C39" s="54"/>
      <c r="D39" s="54"/>
      <c r="E39" s="54"/>
      <c r="F39" s="54"/>
      <c r="G39" s="54"/>
      <c r="H39" s="54"/>
    </row>
    <row r="40" customFormat="false" ht="15" hidden="false" customHeight="true" outlineLevel="0" collapsed="false">
      <c r="B40" s="54"/>
      <c r="C40" s="54"/>
      <c r="D40" s="54"/>
      <c r="E40" s="54"/>
      <c r="F40" s="54"/>
      <c r="G40" s="54"/>
      <c r="H40" s="54"/>
    </row>
    <row r="41" customFormat="false" ht="15" hidden="false" customHeight="true" outlineLevel="0" collapsed="false">
      <c r="B41" s="54"/>
      <c r="C41" s="54"/>
      <c r="D41" s="54"/>
      <c r="E41" s="54"/>
      <c r="F41" s="54"/>
      <c r="G41" s="54"/>
      <c r="H41" s="54"/>
    </row>
    <row r="42" customFormat="false" ht="15" hidden="false" customHeight="true" outlineLevel="0" collapsed="false">
      <c r="B42" s="54"/>
      <c r="C42" s="54"/>
      <c r="D42" s="54"/>
      <c r="E42" s="54"/>
      <c r="F42" s="54"/>
      <c r="G42" s="54"/>
      <c r="H42" s="54"/>
    </row>
    <row r="43" customFormat="false" ht="15" hidden="false" customHeight="true" outlineLevel="0" collapsed="false">
      <c r="B43" s="54"/>
      <c r="C43" s="54"/>
      <c r="D43" s="54"/>
      <c r="E43" s="54"/>
      <c r="F43" s="54"/>
      <c r="G43" s="54"/>
      <c r="H43" s="54"/>
    </row>
    <row r="44" customFormat="false" ht="15" hidden="false" customHeight="true" outlineLevel="0" collapsed="false">
      <c r="B44" s="54"/>
      <c r="C44" s="54"/>
      <c r="D44" s="54"/>
      <c r="E44" s="54"/>
      <c r="F44" s="54"/>
      <c r="G44" s="54"/>
      <c r="H44" s="54"/>
    </row>
  </sheetData>
  <autoFilter ref="B4:H44"/>
  <mergeCells count="1">
    <mergeCell ref="B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4"/>
    <col collapsed="false" customWidth="true" hidden="false" outlineLevel="0" max="8" min="3" style="1" width="22"/>
    <col collapsed="false" customWidth="true" hidden="false" outlineLevel="0" max="9" min="9" style="0" width="20"/>
    <col collapsed="false" customWidth="true" hidden="false" outlineLevel="0" max="10" min="10" style="0" width="18"/>
    <col collapsed="false" customWidth="true" hidden="false" outlineLevel="0" max="11" min="11" style="0" width="16"/>
  </cols>
  <sheetData>
    <row r="2" customFormat="false" ht="17.25" hidden="false" customHeight="true" outlineLevel="0" collapsed="false">
      <c r="B2" s="55" t="s">
        <v>379</v>
      </c>
    </row>
    <row r="4" customFormat="false" ht="15" hidden="false" customHeight="true" outlineLevel="0" collapsed="false">
      <c r="B4" s="21" t="s">
        <v>32</v>
      </c>
      <c r="C4" s="21" t="s">
        <v>380</v>
      </c>
      <c r="D4" s="21" t="s">
        <v>42</v>
      </c>
      <c r="E4" s="21" t="s">
        <v>54</v>
      </c>
      <c r="F4" s="21" t="s">
        <v>56</v>
      </c>
      <c r="G4" s="21" t="s">
        <v>38</v>
      </c>
      <c r="H4" s="21" t="s">
        <v>125</v>
      </c>
      <c r="I4" s="21" t="s">
        <v>46</v>
      </c>
      <c r="J4" s="21" t="s">
        <v>154</v>
      </c>
      <c r="K4" s="21" t="s">
        <v>44</v>
      </c>
    </row>
    <row r="5" customFormat="false" ht="15" hidden="false" customHeight="true" outlineLevel="0" collapsed="false">
      <c r="B5" s="30" t="s">
        <v>135</v>
      </c>
      <c r="C5" s="30" t="s">
        <v>167</v>
      </c>
      <c r="D5" s="30" t="s">
        <v>381</v>
      </c>
      <c r="E5" s="30" t="s">
        <v>136</v>
      </c>
      <c r="F5" s="30" t="s">
        <v>382</v>
      </c>
      <c r="G5" s="30" t="s">
        <v>182</v>
      </c>
      <c r="H5" s="30" t="s">
        <v>133</v>
      </c>
      <c r="I5" s="30" t="s">
        <v>170</v>
      </c>
      <c r="J5" s="30" t="s">
        <v>240</v>
      </c>
      <c r="K5" s="30" t="s">
        <v>132</v>
      </c>
    </row>
    <row r="6" customFormat="false" ht="15" hidden="false" customHeight="true" outlineLevel="0" collapsed="false">
      <c r="B6" s="30" t="s">
        <v>137</v>
      </c>
      <c r="C6" s="30" t="s">
        <v>206</v>
      </c>
      <c r="D6" s="30" t="s">
        <v>259</v>
      </c>
      <c r="E6" s="30" t="s">
        <v>138</v>
      </c>
      <c r="F6" s="30" t="s">
        <v>187</v>
      </c>
      <c r="G6" s="30" t="s">
        <v>194</v>
      </c>
      <c r="H6" s="30" t="s">
        <v>131</v>
      </c>
      <c r="I6" s="30" t="s">
        <v>239</v>
      </c>
      <c r="J6" s="30" t="s">
        <v>197</v>
      </c>
      <c r="K6" s="30" t="s">
        <v>130</v>
      </c>
    </row>
    <row r="7" customFormat="false" ht="15" hidden="false" customHeight="true" outlineLevel="0" collapsed="false">
      <c r="B7" s="30" t="s">
        <v>139</v>
      </c>
      <c r="C7" s="30" t="s">
        <v>181</v>
      </c>
      <c r="D7" s="30" t="s">
        <v>110</v>
      </c>
      <c r="E7" s="30" t="s">
        <v>140</v>
      </c>
      <c r="F7" s="30" t="s">
        <v>174</v>
      </c>
      <c r="G7" s="30" t="s">
        <v>269</v>
      </c>
      <c r="H7" s="30" t="s">
        <v>129</v>
      </c>
      <c r="I7" s="30" t="s">
        <v>196</v>
      </c>
      <c r="J7" s="30" t="s">
        <v>171</v>
      </c>
      <c r="K7" s="30" t="s">
        <v>128</v>
      </c>
    </row>
    <row r="8" customFormat="false" ht="15" hidden="false" customHeight="true" outlineLevel="0" collapsed="false">
      <c r="B8" s="30" t="s">
        <v>141</v>
      </c>
      <c r="C8" s="30" t="s">
        <v>249</v>
      </c>
      <c r="D8" s="30" t="s">
        <v>111</v>
      </c>
      <c r="E8" s="30" t="s">
        <v>142</v>
      </c>
      <c r="F8" s="30" t="s">
        <v>220</v>
      </c>
      <c r="G8" s="30" t="s">
        <v>383</v>
      </c>
      <c r="H8" s="30" t="s">
        <v>127</v>
      </c>
      <c r="I8" s="30" t="s">
        <v>260</v>
      </c>
      <c r="J8" s="30" t="s">
        <v>184</v>
      </c>
      <c r="K8" s="30" t="s">
        <v>126</v>
      </c>
    </row>
    <row r="9" customFormat="false" ht="15" hidden="false" customHeight="true" outlineLevel="0" collapsed="false">
      <c r="B9" s="30" t="s">
        <v>143</v>
      </c>
      <c r="C9" s="30" t="s">
        <v>268</v>
      </c>
      <c r="D9" s="30" t="s">
        <v>112</v>
      </c>
      <c r="G9" s="30" t="s">
        <v>237</v>
      </c>
    </row>
    <row r="10" customFormat="false" ht="15" hidden="false" customHeight="true" outlineLevel="0" collapsed="false">
      <c r="B10" s="30" t="s">
        <v>144</v>
      </c>
      <c r="G10" s="30" t="s">
        <v>384</v>
      </c>
    </row>
    <row r="11" customFormat="false" ht="15" hidden="false" customHeight="true" outlineLevel="0" collapsed="false">
      <c r="B11" s="30" t="s">
        <v>145</v>
      </c>
      <c r="G11" s="30" t="s">
        <v>227</v>
      </c>
    </row>
    <row r="12" customFormat="false" ht="15" hidden="false" customHeight="true" outlineLevel="0" collapsed="false">
      <c r="B12" s="30" t="s">
        <v>146</v>
      </c>
      <c r="G12" s="30" t="s">
        <v>168</v>
      </c>
    </row>
    <row r="13" customFormat="false" ht="15" hidden="false" customHeight="true" outlineLevel="0" collapsed="false">
      <c r="B13" s="30" t="s">
        <v>385</v>
      </c>
      <c r="G13" s="30" t="s">
        <v>257</v>
      </c>
    </row>
    <row r="14" customFormat="false" ht="15" hidden="false" customHeight="true" outlineLevel="0" collapsed="false">
      <c r="B14" s="30" t="s">
        <v>386</v>
      </c>
      <c r="G14" s="30" t="s">
        <v>207</v>
      </c>
    </row>
    <row r="15" customFormat="false" ht="15" hidden="false" customHeight="true" outlineLevel="0" collapsed="false">
      <c r="B15" s="30" t="s">
        <v>387</v>
      </c>
      <c r="G15" s="30" t="s">
        <v>388</v>
      </c>
    </row>
    <row r="16" customFormat="false" ht="15" hidden="false" customHeight="true" outlineLevel="0" collapsed="false">
      <c r="B16" s="30" t="s">
        <v>147</v>
      </c>
      <c r="G16" s="30" t="s">
        <v>148</v>
      </c>
    </row>
    <row r="17" customFormat="false" ht="15" hidden="false" customHeight="true" outlineLevel="0" collapsed="false">
      <c r="B17" s="30" t="s">
        <v>148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2026-05-12T21:28:22Z</dcterms:created>
  <dc:creator>openpyxl</dc:creator>
  <dc:description/>
  <dc:language>en-US</dc:language>
  <cp:lastModifiedBy/>
  <dcterms:modified xsi:type="dcterms:W3CDTF">2026-05-12T21:39:17Z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